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649\Desktop\Bulletin March 2021\"/>
    </mc:Choice>
  </mc:AlternateContent>
  <bookViews>
    <workbookView xWindow="-120" yWindow="-120" windowWidth="29040" windowHeight="15840" tabRatio="789" firstSheet="40" activeTab="60"/>
  </bookViews>
  <sheets>
    <sheet name="Data Summary" sheetId="1" r:id="rId1"/>
    <sheet name="1" sheetId="169" r:id="rId2"/>
    <sheet name="2" sheetId="118" r:id="rId3"/>
    <sheet name="3" sheetId="170" r:id="rId4"/>
    <sheet name="4" sheetId="171" r:id="rId5"/>
    <sheet name="5" sheetId="121" r:id="rId6"/>
    <sheet name="6" sheetId="122" r:id="rId7"/>
    <sheet name="7" sheetId="123" r:id="rId8"/>
    <sheet name="8" sheetId="124" r:id="rId9"/>
    <sheet name="9" sheetId="125" r:id="rId10"/>
    <sheet name="10" sheetId="126" r:id="rId11"/>
    <sheet name="11" sheetId="186" r:id="rId12"/>
    <sheet name="12" sheetId="128" r:id="rId13"/>
    <sheet name="13" sheetId="129" r:id="rId14"/>
    <sheet name="14" sheetId="173" r:id="rId15"/>
    <sheet name="15" sheetId="174" r:id="rId16"/>
    <sheet name="16" sheetId="132" r:id="rId17"/>
    <sheet name="17" sheetId="133" r:id="rId18"/>
    <sheet name="18" sheetId="134" r:id="rId19"/>
    <sheet name="19" sheetId="135" r:id="rId20"/>
    <sheet name="20" sheetId="136" r:id="rId21"/>
    <sheet name="21" sheetId="137" r:id="rId22"/>
    <sheet name="22" sheetId="138" r:id="rId23"/>
    <sheet name="23" sheetId="139" r:id="rId24"/>
    <sheet name="24" sheetId="140" r:id="rId25"/>
    <sheet name="25" sheetId="141" r:id="rId26"/>
    <sheet name="26" sheetId="142" r:id="rId27"/>
    <sheet name="27" sheetId="143" r:id="rId28"/>
    <sheet name="28" sheetId="144" r:id="rId29"/>
    <sheet name="29" sheetId="145" r:id="rId30"/>
    <sheet name="30" sheetId="146" r:id="rId31"/>
    <sheet name="31" sheetId="232" r:id="rId32"/>
    <sheet name="32" sheetId="233" r:id="rId33"/>
    <sheet name="33" sheetId="234" r:id="rId34"/>
    <sheet name="34" sheetId="235" r:id="rId35"/>
    <sheet name="35" sheetId="236" r:id="rId36"/>
    <sheet name="36" sheetId="237" r:id="rId37"/>
    <sheet name="37" sheetId="238" r:id="rId38"/>
    <sheet name="38" sheetId="239" r:id="rId39"/>
    <sheet name="39" sheetId="240" r:id="rId40"/>
    <sheet name="40" sheetId="241" r:id="rId41"/>
    <sheet name="41" sheetId="242" r:id="rId42"/>
    <sheet name="42" sheetId="243" r:id="rId43"/>
    <sheet name="43" sheetId="244" r:id="rId44"/>
    <sheet name="44" sheetId="245" r:id="rId45"/>
    <sheet name="45" sheetId="246" r:id="rId46"/>
    <sheet name="46" sheetId="247" r:id="rId47"/>
    <sheet name="47" sheetId="248" r:id="rId48"/>
    <sheet name="48" sheetId="249" r:id="rId49"/>
    <sheet name="49" sheetId="250" r:id="rId50"/>
    <sheet name="50" sheetId="251" r:id="rId51"/>
    <sheet name="51" sheetId="252" r:id="rId52"/>
    <sheet name="52" sheetId="253" r:id="rId53"/>
    <sheet name="53" sheetId="254" r:id="rId54"/>
    <sheet name="54" sheetId="255" r:id="rId55"/>
    <sheet name="55" sheetId="256" r:id="rId56"/>
    <sheet name="56" sheetId="257" r:id="rId57"/>
    <sheet name="57" sheetId="258" r:id="rId58"/>
    <sheet name="58" sheetId="259" r:id="rId59"/>
    <sheet name="59" sheetId="260" r:id="rId60"/>
    <sheet name="60" sheetId="261" r:id="rId61"/>
    <sheet name="61" sheetId="262" r:id="rId62"/>
    <sheet name="62" sheetId="263" r:id="rId63"/>
    <sheet name="63" sheetId="264" r:id="rId64"/>
    <sheet name="64" sheetId="265" r:id="rId65"/>
    <sheet name="65" sheetId="266" r:id="rId66"/>
    <sheet name="66" sheetId="267" r:id="rId67"/>
    <sheet name="67" sheetId="268" r:id="rId68"/>
    <sheet name="68" sheetId="269" r:id="rId69"/>
    <sheet name="69" sheetId="270" r:id="rId70"/>
    <sheet name="70" sheetId="271" r:id="rId71"/>
    <sheet name="71" sheetId="272" r:id="rId72"/>
    <sheet name="72" sheetId="273" r:id="rId73"/>
    <sheet name="73" sheetId="274" r:id="rId74"/>
    <sheet name="74" sheetId="275" r:id="rId75"/>
  </sheets>
  <externalReferences>
    <externalReference r:id="rId76"/>
  </externalReferences>
  <definedNames>
    <definedName name="_xlnm._FilterDatabase" localSheetId="25" hidden="1">'25'!$A$2:$J$58</definedName>
    <definedName name="_xlnm._FilterDatabase" localSheetId="40" hidden="1">'40'!$A$1:$D$19</definedName>
    <definedName name="_xlnm.Print_Area" localSheetId="63">'63'!$A$1:$L$20</definedName>
    <definedName name="_xlnm.Print_Area" localSheetId="64">'64'!$A$1:$I$16</definedName>
    <definedName name="_xlnm.Print_Area" localSheetId="65">'65'!$A$1:$AA$39</definedName>
    <definedName name="_xlnm.Print_Area" localSheetId="66">'66'!$A$1:$T$22</definedName>
    <definedName name="_xlnm.Print_Area" localSheetId="67">'67'!$A$1:$O$17</definedName>
    <definedName name="_xlnm.Print_Area" localSheetId="68">'68'!$A$1:$R$38</definedName>
    <definedName name="_xlnm.Print_Area" localSheetId="69">'69'!$A$1:$O$36</definedName>
    <definedName name="_xlnm.Print_Area" localSheetId="70">'70'!$A$1:$R$19</definedName>
    <definedName name="_xlnm.Print_Area" localSheetId="71">'71'!$A$1:$L$50</definedName>
    <definedName name="_xlnm.Print_Area" localSheetId="72">'72'!$A$1:$L$37</definedName>
    <definedName name="_xlnm.Print_Area" localSheetId="73">'73'!$A$1:$L$82</definedName>
  </definedNames>
  <calcPr calcId="162913"/>
</workbook>
</file>

<file path=xl/calcChain.xml><?xml version="1.0" encoding="utf-8"?>
<calcChain xmlns="http://schemas.openxmlformats.org/spreadsheetml/2006/main">
  <c r="L7" i="245" l="1"/>
  <c r="M7" i="245"/>
  <c r="N7" i="245"/>
  <c r="O7" i="245"/>
  <c r="P7" i="245"/>
  <c r="C5" i="128" l="1"/>
  <c r="D5" i="128"/>
  <c r="E5" i="128"/>
  <c r="F5" i="128"/>
  <c r="G5" i="128"/>
  <c r="H5" i="128"/>
  <c r="I5" i="128"/>
  <c r="B5" i="128"/>
  <c r="F4" i="255" l="1"/>
  <c r="E4" i="255"/>
  <c r="B7" i="253"/>
  <c r="B6" i="252"/>
  <c r="D6" i="251"/>
  <c r="C6" i="251"/>
  <c r="B6" i="250"/>
  <c r="B6" i="249"/>
  <c r="B5" i="248"/>
  <c r="B5" i="247"/>
  <c r="B5" i="246"/>
  <c r="B7" i="245"/>
  <c r="K6" i="244"/>
  <c r="K6" i="243"/>
  <c r="B6" i="243"/>
  <c r="K6" i="242"/>
  <c r="B6" i="242"/>
  <c r="M7" i="237"/>
  <c r="L7" i="237"/>
  <c r="B7" i="237"/>
  <c r="R6" i="236"/>
  <c r="Q6" i="236"/>
  <c r="C6" i="236"/>
  <c r="B6" i="236"/>
  <c r="R6" i="235"/>
  <c r="Q6" i="235"/>
  <c r="P6" i="235"/>
  <c r="M5" i="174"/>
  <c r="L5" i="174"/>
  <c r="K5" i="174"/>
  <c r="J5" i="174"/>
  <c r="I5" i="174"/>
  <c r="H5" i="174"/>
  <c r="G5" i="174"/>
  <c r="F5" i="174"/>
  <c r="E5" i="174"/>
  <c r="D5" i="174"/>
  <c r="C5" i="174"/>
  <c r="B5" i="174"/>
  <c r="M6" i="173"/>
  <c r="L6" i="173"/>
  <c r="K6" i="173"/>
  <c r="J6" i="173"/>
  <c r="I6" i="173"/>
  <c r="H6" i="173"/>
  <c r="G6" i="173"/>
  <c r="F6" i="173"/>
  <c r="E6" i="173"/>
  <c r="D6" i="173"/>
  <c r="C6" i="173"/>
  <c r="B6" i="173"/>
  <c r="J6" i="186"/>
  <c r="J5" i="126"/>
  <c r="K5" i="126"/>
  <c r="D5" i="125"/>
  <c r="E5" i="125"/>
  <c r="F5" i="125"/>
  <c r="G5" i="125"/>
  <c r="H5" i="125"/>
  <c r="I5" i="125"/>
  <c r="J5" i="125"/>
  <c r="K5" i="125"/>
  <c r="L5" i="125"/>
  <c r="M5" i="125"/>
  <c r="N5" i="125"/>
  <c r="O5" i="125"/>
  <c r="C5" i="125"/>
  <c r="B5" i="125"/>
  <c r="Q6" i="124"/>
  <c r="P6" i="124"/>
  <c r="O6" i="124"/>
  <c r="N6" i="124"/>
  <c r="M6" i="124"/>
  <c r="L6" i="124"/>
  <c r="K6" i="124"/>
  <c r="J6" i="124"/>
  <c r="I6" i="124"/>
  <c r="H6" i="124"/>
  <c r="G6" i="124"/>
  <c r="F6" i="124"/>
  <c r="E6" i="124"/>
  <c r="D6" i="124"/>
  <c r="C6" i="124"/>
  <c r="B6" i="124"/>
  <c r="C4" i="122"/>
  <c r="B4" i="122"/>
  <c r="H7" i="171"/>
  <c r="B7" i="171"/>
  <c r="Q7" i="121"/>
  <c r="P7" i="121"/>
  <c r="O7" i="121"/>
  <c r="N7" i="121"/>
  <c r="M7" i="121"/>
  <c r="L7" i="121"/>
  <c r="K7" i="121"/>
  <c r="J7" i="121"/>
  <c r="I7" i="121"/>
  <c r="H7" i="121"/>
  <c r="G7" i="121"/>
  <c r="F7" i="121"/>
  <c r="E7" i="121"/>
  <c r="D7" i="121"/>
  <c r="C7" i="121"/>
  <c r="B7" i="121"/>
  <c r="K17" i="186" l="1"/>
  <c r="J17" i="186"/>
  <c r="J17" i="259" l="1"/>
  <c r="I17" i="259"/>
  <c r="H17" i="259"/>
  <c r="J57" i="258"/>
  <c r="K57" i="258"/>
  <c r="L57" i="258"/>
  <c r="M57" i="258"/>
  <c r="N57" i="258"/>
  <c r="I57" i="258"/>
  <c r="J50" i="258"/>
  <c r="K50" i="258"/>
  <c r="L50" i="258"/>
  <c r="M50" i="258"/>
  <c r="N50" i="258"/>
  <c r="I50" i="258"/>
  <c r="J45" i="258"/>
  <c r="K45" i="258"/>
  <c r="L45" i="258"/>
  <c r="M45" i="258"/>
  <c r="N45" i="258"/>
  <c r="I45" i="258"/>
  <c r="J36" i="258"/>
  <c r="K36" i="258"/>
  <c r="L36" i="258"/>
  <c r="M36" i="258"/>
  <c r="N36" i="258"/>
  <c r="I36" i="258"/>
  <c r="J22" i="258"/>
  <c r="K22" i="258"/>
  <c r="L22" i="258"/>
  <c r="M22" i="258"/>
  <c r="N22" i="258"/>
  <c r="I22" i="258"/>
  <c r="I5" i="126" l="1"/>
  <c r="H5" i="126"/>
  <c r="C6" i="186"/>
  <c r="D6" i="186"/>
  <c r="E6" i="186"/>
  <c r="F6" i="186"/>
  <c r="G6" i="186"/>
  <c r="H6" i="186"/>
  <c r="I6" i="186"/>
  <c r="K6" i="186"/>
  <c r="B6" i="186"/>
  <c r="C16" i="125" l="1"/>
  <c r="B16" i="125"/>
  <c r="C17" i="124"/>
  <c r="B17" i="124"/>
  <c r="C18" i="121"/>
  <c r="B18" i="121"/>
  <c r="C7" i="171" l="1"/>
  <c r="D7" i="171"/>
  <c r="E7" i="171"/>
  <c r="F7" i="171"/>
  <c r="G7" i="171"/>
  <c r="I7" i="171"/>
  <c r="A79" i="274" l="1"/>
  <c r="L78" i="274"/>
  <c r="K78" i="274"/>
  <c r="J78" i="274"/>
  <c r="I78" i="274"/>
  <c r="H78" i="274"/>
  <c r="G78" i="274"/>
  <c r="F78" i="274"/>
  <c r="E78" i="274"/>
  <c r="K71" i="274"/>
  <c r="H71" i="274"/>
  <c r="G71" i="274"/>
  <c r="F71" i="274"/>
  <c r="E71" i="274"/>
  <c r="D71" i="274"/>
  <c r="L70" i="274"/>
  <c r="K70" i="274"/>
  <c r="J70" i="274"/>
  <c r="I70" i="274"/>
  <c r="H70" i="274"/>
  <c r="G70" i="274"/>
  <c r="F70" i="274"/>
  <c r="E70" i="274"/>
  <c r="D70" i="274"/>
  <c r="C70" i="274"/>
  <c r="L67" i="274"/>
  <c r="K67" i="274"/>
  <c r="J67" i="274"/>
  <c r="I67" i="274"/>
  <c r="H67" i="274"/>
  <c r="G67" i="274"/>
  <c r="F67" i="274"/>
  <c r="E67" i="274"/>
  <c r="D67" i="274"/>
  <c r="C67" i="274"/>
  <c r="L55" i="274"/>
  <c r="K55" i="274"/>
  <c r="J55" i="274"/>
  <c r="I55" i="274"/>
  <c r="H55" i="274"/>
  <c r="G55" i="274"/>
  <c r="F55" i="274"/>
  <c r="E55" i="274"/>
  <c r="D55" i="274"/>
  <c r="C55" i="274"/>
  <c r="L52" i="274"/>
  <c r="L71" i="274" s="1"/>
  <c r="K52" i="274"/>
  <c r="J52" i="274"/>
  <c r="J71" i="274" s="1"/>
  <c r="I52" i="274"/>
  <c r="I71" i="274" s="1"/>
  <c r="H52" i="274"/>
  <c r="G52" i="274"/>
  <c r="F52" i="274"/>
  <c r="E52" i="274"/>
  <c r="D52" i="274"/>
  <c r="C52" i="274"/>
  <c r="C71" i="274" s="1"/>
  <c r="L42" i="274"/>
  <c r="K42" i="274"/>
  <c r="J42" i="274"/>
  <c r="I42" i="274"/>
  <c r="H42" i="274"/>
  <c r="G42" i="274"/>
  <c r="F42" i="274"/>
  <c r="E42" i="274"/>
  <c r="J38" i="274"/>
  <c r="D38" i="274"/>
  <c r="J37" i="274"/>
  <c r="I37" i="274"/>
  <c r="H37" i="274"/>
  <c r="G37" i="274"/>
  <c r="F37" i="274"/>
  <c r="E37" i="274"/>
  <c r="L34" i="274"/>
  <c r="K34" i="274"/>
  <c r="J34" i="274"/>
  <c r="I34" i="274"/>
  <c r="H34" i="274"/>
  <c r="G34" i="274"/>
  <c r="F34" i="274"/>
  <c r="E34" i="274"/>
  <c r="L31" i="274"/>
  <c r="K31" i="274"/>
  <c r="J31" i="274"/>
  <c r="I31" i="274"/>
  <c r="H31" i="274"/>
  <c r="G31" i="274"/>
  <c r="F31" i="274"/>
  <c r="E31" i="274"/>
  <c r="D31" i="274"/>
  <c r="C31" i="274"/>
  <c r="L27" i="274"/>
  <c r="L38" i="274" s="1"/>
  <c r="K27" i="274"/>
  <c r="J27" i="274"/>
  <c r="I27" i="274"/>
  <c r="I38" i="274" s="1"/>
  <c r="H27" i="274"/>
  <c r="H38" i="274" s="1"/>
  <c r="G27" i="274"/>
  <c r="G38" i="274" s="1"/>
  <c r="F27" i="274"/>
  <c r="F38" i="274" s="1"/>
  <c r="E27" i="274"/>
  <c r="E38" i="274" s="1"/>
  <c r="D27" i="274"/>
  <c r="C27" i="274"/>
  <c r="C38" i="274" s="1"/>
  <c r="J20" i="274"/>
  <c r="D20" i="274"/>
  <c r="L19" i="274"/>
  <c r="K19" i="274"/>
  <c r="J19" i="274"/>
  <c r="I19" i="274"/>
  <c r="H19" i="274"/>
  <c r="G19" i="274"/>
  <c r="G20" i="274" s="1"/>
  <c r="F19" i="274"/>
  <c r="E19" i="274"/>
  <c r="E20" i="274" s="1"/>
  <c r="D19" i="274"/>
  <c r="C19" i="274"/>
  <c r="L13" i="274"/>
  <c r="L20" i="274" s="1"/>
  <c r="K13" i="274"/>
  <c r="J13" i="274"/>
  <c r="I13" i="274"/>
  <c r="I20" i="274" s="1"/>
  <c r="H13" i="274"/>
  <c r="G13" i="274"/>
  <c r="F13" i="274"/>
  <c r="E13" i="274"/>
  <c r="D13" i="274"/>
  <c r="C13" i="274"/>
  <c r="C20" i="274" s="1"/>
  <c r="L10" i="274"/>
  <c r="J10" i="274"/>
  <c r="H10" i="274"/>
  <c r="H20" i="274" s="1"/>
  <c r="F10" i="274"/>
  <c r="F20" i="274" s="1"/>
  <c r="D10" i="274"/>
  <c r="A42" i="273"/>
  <c r="L41" i="273"/>
  <c r="K41" i="273"/>
  <c r="J41" i="273"/>
  <c r="I41" i="273"/>
  <c r="H41" i="273"/>
  <c r="G41" i="273"/>
  <c r="F41" i="273"/>
  <c r="E41" i="273"/>
  <c r="D41" i="273"/>
  <c r="C41" i="273"/>
  <c r="L32" i="273"/>
  <c r="K32" i="273"/>
  <c r="H32" i="273"/>
  <c r="L31" i="273"/>
  <c r="K31" i="273"/>
  <c r="J31" i="273"/>
  <c r="I31" i="273"/>
  <c r="F31" i="273"/>
  <c r="E31" i="273"/>
  <c r="L28" i="273"/>
  <c r="K28" i="273"/>
  <c r="J28" i="273"/>
  <c r="I28" i="273"/>
  <c r="I32" i="273" s="1"/>
  <c r="H28" i="273"/>
  <c r="G28" i="273"/>
  <c r="G32" i="273" s="1"/>
  <c r="F28" i="273"/>
  <c r="F32" i="273" s="1"/>
  <c r="E28" i="273"/>
  <c r="D28" i="273"/>
  <c r="D32" i="273" s="1"/>
  <c r="C28" i="273"/>
  <c r="C32" i="273" s="1"/>
  <c r="A46" i="272"/>
  <c r="I45" i="272"/>
  <c r="H45" i="272"/>
  <c r="F45" i="272"/>
  <c r="C45" i="272"/>
  <c r="L44" i="272"/>
  <c r="K44" i="272"/>
  <c r="J44" i="272"/>
  <c r="I44" i="272"/>
  <c r="H44" i="272"/>
  <c r="G44" i="272"/>
  <c r="F44" i="272"/>
  <c r="E44" i="272"/>
  <c r="D44" i="272"/>
  <c r="C44" i="272"/>
  <c r="L41" i="272"/>
  <c r="K41" i="272"/>
  <c r="J41" i="272"/>
  <c r="I41" i="272"/>
  <c r="H41" i="272"/>
  <c r="G41" i="272"/>
  <c r="F41" i="272"/>
  <c r="E41" i="272"/>
  <c r="D41" i="272"/>
  <c r="D45" i="272" s="1"/>
  <c r="C41" i="272"/>
  <c r="L37" i="272"/>
  <c r="K37" i="272"/>
  <c r="K45" i="272" s="1"/>
  <c r="J37" i="272"/>
  <c r="J45" i="272" s="1"/>
  <c r="I37" i="272"/>
  <c r="H37" i="272"/>
  <c r="G37" i="272"/>
  <c r="G45" i="272" s="1"/>
  <c r="F37" i="272"/>
  <c r="E37" i="272"/>
  <c r="E45" i="272" s="1"/>
  <c r="D37" i="272"/>
  <c r="C37" i="272"/>
  <c r="D31" i="272"/>
  <c r="C31" i="272"/>
  <c r="L30" i="272"/>
  <c r="J30" i="272"/>
  <c r="H30" i="272"/>
  <c r="F30" i="272"/>
  <c r="D30" i="272"/>
  <c r="L26" i="272"/>
  <c r="J26" i="272"/>
  <c r="H26" i="272"/>
  <c r="F26" i="272"/>
  <c r="D26" i="272"/>
  <c r="L22" i="272"/>
  <c r="K22" i="272"/>
  <c r="K31" i="272" s="1"/>
  <c r="J22" i="272"/>
  <c r="J31" i="272" s="1"/>
  <c r="I22" i="272"/>
  <c r="I31" i="272" s="1"/>
  <c r="H22" i="272"/>
  <c r="G22" i="272"/>
  <c r="G31" i="272" s="1"/>
  <c r="F22" i="272"/>
  <c r="E22" i="272"/>
  <c r="D22" i="272"/>
  <c r="C22" i="272"/>
  <c r="L15" i="272"/>
  <c r="K15" i="272"/>
  <c r="J15" i="272"/>
  <c r="I15" i="272"/>
  <c r="H15" i="272"/>
  <c r="G15" i="272"/>
  <c r="F15" i="272"/>
  <c r="E15" i="272"/>
  <c r="D15" i="272"/>
  <c r="C15" i="272"/>
  <c r="L8" i="272"/>
  <c r="L31" i="272" s="1"/>
  <c r="K8" i="272"/>
  <c r="J8" i="272"/>
  <c r="I8" i="272"/>
  <c r="H8" i="272"/>
  <c r="H31" i="272" s="1"/>
  <c r="G8" i="272"/>
  <c r="F8" i="272"/>
  <c r="F31" i="272" s="1"/>
  <c r="E8" i="272"/>
  <c r="E31" i="272" s="1"/>
  <c r="D8" i="272"/>
  <c r="C8" i="272"/>
  <c r="A18" i="271"/>
  <c r="A33" i="270"/>
  <c r="H24" i="270"/>
  <c r="H23" i="270" s="1"/>
  <c r="G24" i="270"/>
  <c r="G23" i="270" s="1"/>
  <c r="J23" i="270"/>
  <c r="I23" i="270"/>
  <c r="F23" i="270"/>
  <c r="E23" i="270"/>
  <c r="D23" i="270"/>
  <c r="C23" i="270"/>
  <c r="B23" i="270"/>
  <c r="P9" i="270"/>
  <c r="P6" i="270" s="1"/>
  <c r="O9" i="270"/>
  <c r="R6" i="270"/>
  <c r="Q6" i="270"/>
  <c r="O6" i="270"/>
  <c r="N6" i="270"/>
  <c r="M6" i="270"/>
  <c r="L6" i="270"/>
  <c r="K6" i="270"/>
  <c r="J6" i="270"/>
  <c r="I6" i="270"/>
  <c r="H6" i="270"/>
  <c r="G6" i="270"/>
  <c r="F6" i="270"/>
  <c r="E6" i="270"/>
  <c r="D6" i="270"/>
  <c r="C6" i="270"/>
  <c r="B6" i="270"/>
  <c r="A33" i="269"/>
  <c r="J23" i="269"/>
  <c r="I23" i="269"/>
  <c r="H23" i="269"/>
  <c r="G23" i="269"/>
  <c r="F23" i="269"/>
  <c r="E23" i="269"/>
  <c r="D23" i="269"/>
  <c r="C23" i="269"/>
  <c r="B23" i="269"/>
  <c r="R6" i="269"/>
  <c r="Q6" i="269"/>
  <c r="P6" i="269"/>
  <c r="O6" i="269"/>
  <c r="N6" i="269"/>
  <c r="M6" i="269"/>
  <c r="L6" i="269"/>
  <c r="K6" i="269"/>
  <c r="J6" i="269"/>
  <c r="I6" i="269"/>
  <c r="H6" i="269"/>
  <c r="G6" i="269"/>
  <c r="F6" i="269"/>
  <c r="E6" i="269"/>
  <c r="D6" i="269"/>
  <c r="C6" i="269"/>
  <c r="B6" i="269"/>
  <c r="A18" i="268"/>
  <c r="O6" i="268"/>
  <c r="N6" i="268"/>
  <c r="M6" i="268"/>
  <c r="L6" i="268"/>
  <c r="K6" i="268"/>
  <c r="J6" i="268"/>
  <c r="I6" i="268"/>
  <c r="H6" i="268"/>
  <c r="G6" i="268"/>
  <c r="F6" i="268"/>
  <c r="E6" i="268"/>
  <c r="D6" i="268"/>
  <c r="C6" i="268"/>
  <c r="B6" i="268"/>
  <c r="A19" i="267"/>
  <c r="U10" i="267"/>
  <c r="T10" i="267"/>
  <c r="M10" i="267"/>
  <c r="L10" i="267"/>
  <c r="U9" i="267"/>
  <c r="U7" i="267" s="1"/>
  <c r="T9" i="267"/>
  <c r="M9" i="267"/>
  <c r="L9" i="267"/>
  <c r="U8" i="267"/>
  <c r="T8" i="267"/>
  <c r="T7" i="267" s="1"/>
  <c r="M8" i="267"/>
  <c r="M7" i="267" s="1"/>
  <c r="L8" i="267"/>
  <c r="L7" i="267" s="1"/>
  <c r="W7" i="267"/>
  <c r="V7" i="267"/>
  <c r="S7" i="267"/>
  <c r="R7" i="267"/>
  <c r="Q7" i="267"/>
  <c r="P7" i="267"/>
  <c r="O7" i="267"/>
  <c r="N7" i="267"/>
  <c r="K7" i="267"/>
  <c r="J7" i="267"/>
  <c r="I7" i="267"/>
  <c r="H7" i="267"/>
  <c r="G7" i="267"/>
  <c r="F7" i="267"/>
  <c r="E7" i="267"/>
  <c r="D7" i="267"/>
  <c r="C7" i="267"/>
  <c r="B7" i="267"/>
  <c r="U6" i="267"/>
  <c r="T6" i="267"/>
  <c r="A35" i="266"/>
  <c r="R23" i="266"/>
  <c r="Q23" i="266"/>
  <c r="P23" i="266"/>
  <c r="O23" i="266"/>
  <c r="N23" i="266"/>
  <c r="M23" i="266"/>
  <c r="L23" i="266"/>
  <c r="K23" i="266"/>
  <c r="J23" i="266"/>
  <c r="I23" i="266"/>
  <c r="H23" i="266"/>
  <c r="G23" i="266"/>
  <c r="F23" i="266"/>
  <c r="E23" i="266"/>
  <c r="D23" i="266"/>
  <c r="C23" i="266"/>
  <c r="B23" i="266"/>
  <c r="X6" i="266"/>
  <c r="W6" i="266"/>
  <c r="V6" i="266"/>
  <c r="U6" i="266"/>
  <c r="T6" i="266"/>
  <c r="S6" i="266"/>
  <c r="R6" i="266"/>
  <c r="Q6" i="266"/>
  <c r="P6" i="266"/>
  <c r="O6" i="266"/>
  <c r="N6" i="266"/>
  <c r="M6" i="266"/>
  <c r="L6" i="266"/>
  <c r="K6" i="266"/>
  <c r="J6" i="266"/>
  <c r="I6" i="266"/>
  <c r="H6" i="266"/>
  <c r="G6" i="266"/>
  <c r="F6" i="266"/>
  <c r="E6" i="266"/>
  <c r="D6" i="266"/>
  <c r="C6" i="266"/>
  <c r="B6" i="266"/>
  <c r="A17" i="265"/>
  <c r="I5" i="265"/>
  <c r="E5" i="265"/>
  <c r="K20" i="274" l="1"/>
  <c r="K38" i="274"/>
  <c r="E32" i="273"/>
  <c r="J32" i="273"/>
  <c r="L45" i="272"/>
  <c r="C5" i="262" l="1"/>
  <c r="D5" i="262"/>
  <c r="E5" i="262"/>
  <c r="F5" i="262"/>
  <c r="G5" i="262"/>
  <c r="H5" i="262"/>
  <c r="I5" i="262"/>
  <c r="J5" i="262"/>
  <c r="K5" i="262"/>
  <c r="B5" i="262"/>
  <c r="K6" i="257"/>
  <c r="C5" i="256"/>
  <c r="D5" i="256"/>
  <c r="E5" i="256"/>
  <c r="F5" i="256"/>
  <c r="G5" i="256"/>
  <c r="H5" i="256"/>
  <c r="I5" i="256"/>
  <c r="J5" i="256"/>
  <c r="K5" i="256"/>
  <c r="L5" i="256"/>
  <c r="M5" i="256"/>
  <c r="N5" i="256"/>
  <c r="O5" i="256"/>
  <c r="P5" i="256"/>
  <c r="Q5" i="256"/>
  <c r="R5" i="256"/>
  <c r="S5" i="256"/>
  <c r="T5" i="256"/>
  <c r="U5" i="256"/>
  <c r="V5" i="256"/>
  <c r="W5" i="256"/>
  <c r="X5" i="256"/>
  <c r="Y5" i="256"/>
  <c r="Z5" i="256"/>
  <c r="AA5" i="256"/>
  <c r="AB5" i="256"/>
  <c r="AC5" i="256"/>
  <c r="B5" i="256"/>
  <c r="F4" i="254"/>
  <c r="H6" i="251"/>
  <c r="I6" i="251"/>
  <c r="J6" i="251"/>
  <c r="K6" i="251"/>
  <c r="G6" i="251"/>
  <c r="E6" i="251"/>
  <c r="H5" i="248"/>
  <c r="G5" i="248"/>
  <c r="F5" i="248"/>
  <c r="O5" i="247"/>
  <c r="N5" i="247"/>
  <c r="M5" i="247"/>
  <c r="L5" i="247"/>
  <c r="K5" i="247"/>
  <c r="J5" i="247"/>
  <c r="I5" i="247"/>
  <c r="L5" i="246"/>
  <c r="K5" i="246"/>
  <c r="J5" i="246"/>
  <c r="I5" i="246"/>
  <c r="L6" i="244"/>
  <c r="L6" i="242"/>
  <c r="L6" i="243"/>
  <c r="J6" i="242"/>
  <c r="E15" i="255" l="1"/>
  <c r="F15" i="255"/>
  <c r="F14" i="255"/>
  <c r="E14" i="255"/>
  <c r="B6" i="257" l="1"/>
  <c r="C6" i="252"/>
  <c r="P6" i="236"/>
  <c r="C5" i="126" l="1"/>
  <c r="D5" i="126"/>
  <c r="E5" i="126"/>
  <c r="F5" i="126"/>
  <c r="G5" i="126"/>
  <c r="B5" i="126"/>
  <c r="C27" i="123"/>
  <c r="F27" i="123"/>
  <c r="G27" i="123"/>
  <c r="B27" i="123"/>
  <c r="I13" i="171"/>
  <c r="H16" i="259" l="1"/>
  <c r="I16" i="259"/>
  <c r="J16" i="259"/>
  <c r="I15" i="259"/>
  <c r="J15" i="259"/>
  <c r="H15" i="259"/>
  <c r="C15" i="125" l="1"/>
  <c r="B15" i="125"/>
  <c r="C16" i="124"/>
  <c r="B16" i="124"/>
  <c r="C17" i="121" l="1"/>
  <c r="B17" i="121"/>
  <c r="L16" i="252" l="1"/>
  <c r="K16" i="252"/>
  <c r="R6" i="252" l="1"/>
  <c r="Q6" i="252"/>
  <c r="N6" i="252"/>
  <c r="M6" i="252"/>
  <c r="F6" i="252"/>
  <c r="E6" i="252"/>
  <c r="I5" i="248"/>
  <c r="O5" i="246"/>
  <c r="N5" i="246"/>
  <c r="M5" i="246"/>
  <c r="O4" i="234"/>
  <c r="M14" i="173" l="1"/>
  <c r="L14" i="173"/>
  <c r="K14" i="173"/>
  <c r="J14" i="173"/>
  <c r="I14" i="173"/>
  <c r="H14" i="173"/>
  <c r="E14" i="173"/>
  <c r="D14" i="173"/>
  <c r="M13" i="173"/>
  <c r="L13" i="173"/>
  <c r="K13" i="173"/>
  <c r="J13" i="173"/>
  <c r="M12" i="173"/>
  <c r="L12" i="173"/>
  <c r="K12" i="173"/>
  <c r="J12" i="173"/>
  <c r="M11" i="173"/>
  <c r="L11" i="173"/>
  <c r="K11" i="173"/>
  <c r="J11" i="173"/>
  <c r="I11" i="173"/>
  <c r="H11" i="173"/>
  <c r="M10" i="173"/>
  <c r="L10" i="173"/>
  <c r="I10" i="173"/>
  <c r="H10" i="173"/>
  <c r="M9" i="173"/>
  <c r="L9" i="173"/>
  <c r="I9" i="173"/>
  <c r="H9" i="173"/>
  <c r="E9" i="173"/>
  <c r="D9" i="173"/>
  <c r="L8" i="173"/>
  <c r="I8" i="173"/>
  <c r="H8" i="173"/>
  <c r="G8" i="173"/>
  <c r="F8" i="173"/>
  <c r="M7" i="173"/>
  <c r="L7" i="173"/>
  <c r="K7" i="173"/>
  <c r="J7" i="173"/>
  <c r="M5" i="173"/>
  <c r="L5" i="173"/>
  <c r="K5" i="173"/>
  <c r="J5" i="173"/>
  <c r="I5" i="173"/>
  <c r="H5" i="173"/>
  <c r="E5" i="173"/>
  <c r="D5" i="173"/>
  <c r="G13" i="260" l="1"/>
  <c r="F13" i="260"/>
  <c r="I13" i="260" s="1"/>
  <c r="I12" i="260"/>
  <c r="I11" i="260"/>
  <c r="I10" i="260"/>
  <c r="I9" i="260"/>
  <c r="I8" i="260"/>
  <c r="I7" i="260"/>
  <c r="I6" i="260"/>
  <c r="I4" i="260"/>
  <c r="J6" i="259"/>
  <c r="J14" i="259"/>
  <c r="I6" i="259"/>
  <c r="H6" i="259"/>
  <c r="G6" i="259"/>
  <c r="F6" i="259"/>
  <c r="E6" i="259"/>
  <c r="D6" i="259"/>
  <c r="C6" i="259"/>
  <c r="B6" i="259"/>
  <c r="J6" i="257"/>
  <c r="I6" i="257"/>
  <c r="H6" i="257"/>
  <c r="G6" i="257"/>
  <c r="F6" i="257"/>
  <c r="E6" i="257"/>
  <c r="D6" i="257"/>
  <c r="C6" i="257"/>
  <c r="F13" i="255"/>
  <c r="E13" i="255"/>
  <c r="F12" i="255"/>
  <c r="E12" i="255"/>
  <c r="F11" i="255"/>
  <c r="E11" i="255"/>
  <c r="F10" i="255"/>
  <c r="E10" i="255"/>
  <c r="F9" i="255"/>
  <c r="E9" i="255"/>
  <c r="F8" i="255"/>
  <c r="E8" i="255"/>
  <c r="F7" i="255"/>
  <c r="E7" i="255"/>
  <c r="F6" i="255"/>
  <c r="E6" i="255"/>
  <c r="F5" i="255"/>
  <c r="E5" i="255"/>
  <c r="F3" i="255"/>
  <c r="E3" i="255"/>
  <c r="F6" i="254"/>
  <c r="F7" i="254" s="1"/>
  <c r="F8" i="254" s="1"/>
  <c r="F9" i="254" s="1"/>
  <c r="F10" i="254" s="1"/>
  <c r="F11" i="254" s="1"/>
  <c r="F12" i="254" s="1"/>
  <c r="F13" i="254" s="1"/>
  <c r="F5" i="254"/>
  <c r="E4" i="254"/>
  <c r="D4" i="254"/>
  <c r="C4" i="254"/>
  <c r="B4" i="254"/>
  <c r="I7" i="253"/>
  <c r="H7" i="253"/>
  <c r="G7" i="253"/>
  <c r="F7" i="253"/>
  <c r="E7" i="253"/>
  <c r="D7" i="253"/>
  <c r="C7" i="253"/>
  <c r="L15" i="252"/>
  <c r="K15" i="252"/>
  <c r="L14" i="252"/>
  <c r="K14" i="252"/>
  <c r="L13" i="252"/>
  <c r="K13" i="252"/>
  <c r="L12" i="252"/>
  <c r="K12" i="252"/>
  <c r="L11" i="252"/>
  <c r="K11" i="252"/>
  <c r="L10" i="252"/>
  <c r="K10" i="252"/>
  <c r="L9" i="252"/>
  <c r="K9" i="252"/>
  <c r="L8" i="252"/>
  <c r="K8" i="252"/>
  <c r="L7" i="252"/>
  <c r="K7" i="252"/>
  <c r="P6" i="252"/>
  <c r="O6" i="252"/>
  <c r="J6" i="252"/>
  <c r="I6" i="252"/>
  <c r="H6" i="252"/>
  <c r="L6" i="252" s="1"/>
  <c r="G6" i="252"/>
  <c r="K6" i="252" s="1"/>
  <c r="D6" i="252"/>
  <c r="L5" i="252"/>
  <c r="K5" i="252"/>
  <c r="K6" i="250"/>
  <c r="J6" i="250"/>
  <c r="I6" i="250"/>
  <c r="H6" i="250"/>
  <c r="G6" i="250"/>
  <c r="F6" i="250"/>
  <c r="E6" i="250"/>
  <c r="D6" i="250"/>
  <c r="C6" i="250"/>
  <c r="K6" i="249"/>
  <c r="J6" i="249"/>
  <c r="I6" i="249"/>
  <c r="H6" i="249"/>
  <c r="G6" i="249"/>
  <c r="F6" i="249"/>
  <c r="E6" i="249"/>
  <c r="D6" i="249"/>
  <c r="C6" i="249"/>
  <c r="E5" i="248"/>
  <c r="D5" i="248"/>
  <c r="C5" i="248"/>
  <c r="H5" i="247"/>
  <c r="G5" i="247"/>
  <c r="F5" i="247"/>
  <c r="E5" i="247"/>
  <c r="D5" i="247"/>
  <c r="C5" i="247"/>
  <c r="H5" i="246"/>
  <c r="G5" i="246"/>
  <c r="F5" i="246"/>
  <c r="E5" i="246"/>
  <c r="D5" i="246"/>
  <c r="C5" i="246"/>
  <c r="K7" i="245"/>
  <c r="J7" i="245"/>
  <c r="I7" i="245"/>
  <c r="H7" i="245"/>
  <c r="G7" i="245"/>
  <c r="F7" i="245"/>
  <c r="E7" i="245"/>
  <c r="D7" i="245"/>
  <c r="C7" i="245"/>
  <c r="J6" i="244"/>
  <c r="I6" i="244"/>
  <c r="H6" i="244"/>
  <c r="G6" i="244"/>
  <c r="F6" i="244"/>
  <c r="E6" i="244"/>
  <c r="D6" i="244"/>
  <c r="C6" i="244"/>
  <c r="B6" i="244"/>
  <c r="J6" i="243"/>
  <c r="I6" i="243"/>
  <c r="H6" i="243"/>
  <c r="G6" i="243"/>
  <c r="F6" i="243"/>
  <c r="E6" i="243"/>
  <c r="D6" i="243"/>
  <c r="C6" i="243"/>
  <c r="I6" i="242"/>
  <c r="H6" i="242"/>
  <c r="G6" i="242"/>
  <c r="F6" i="242"/>
  <c r="E6" i="242"/>
  <c r="D6" i="242"/>
  <c r="C6" i="242"/>
  <c r="L16" i="237"/>
  <c r="F16" i="237"/>
  <c r="L15" i="237"/>
  <c r="F15" i="237"/>
  <c r="L14" i="237"/>
  <c r="F14" i="237"/>
  <c r="L13" i="237"/>
  <c r="F13" i="237"/>
  <c r="L12" i="237"/>
  <c r="F12" i="237"/>
  <c r="L11" i="237"/>
  <c r="F11" i="237"/>
  <c r="L10" i="237"/>
  <c r="F10" i="237"/>
  <c r="L9" i="237"/>
  <c r="F9" i="237"/>
  <c r="L8" i="237"/>
  <c r="F8" i="237"/>
  <c r="K7" i="237"/>
  <c r="J7" i="237"/>
  <c r="I7" i="237"/>
  <c r="H7" i="237"/>
  <c r="G7" i="237"/>
  <c r="E7" i="237"/>
  <c r="D7" i="237"/>
  <c r="C7" i="237"/>
  <c r="F7" i="237" s="1"/>
  <c r="L6" i="237"/>
  <c r="F6" i="237"/>
  <c r="O6" i="236"/>
  <c r="N6" i="236"/>
  <c r="M6" i="236"/>
  <c r="L6" i="236"/>
  <c r="K6" i="236"/>
  <c r="J6" i="236"/>
  <c r="I6" i="236"/>
  <c r="H6" i="236"/>
  <c r="G6" i="236"/>
  <c r="F6" i="236"/>
  <c r="E6" i="236"/>
  <c r="D6" i="236"/>
  <c r="O6" i="235"/>
  <c r="N6" i="235"/>
  <c r="M6" i="235"/>
  <c r="L6" i="235"/>
  <c r="K6" i="235"/>
  <c r="J6" i="235"/>
  <c r="I6" i="235"/>
  <c r="H6" i="235"/>
  <c r="G6" i="235"/>
  <c r="F6" i="235"/>
  <c r="E6" i="235"/>
  <c r="D6" i="235"/>
  <c r="C6" i="235"/>
  <c r="B6" i="235"/>
  <c r="L12" i="233"/>
  <c r="J12" i="233"/>
  <c r="L11" i="233"/>
  <c r="J11" i="233"/>
  <c r="L10" i="233"/>
  <c r="J10" i="233"/>
  <c r="L9" i="233"/>
  <c r="J9" i="233"/>
  <c r="L8" i="233"/>
  <c r="J8" i="233"/>
  <c r="L7" i="233"/>
  <c r="J7" i="233"/>
  <c r="L6" i="233"/>
  <c r="J6" i="233"/>
  <c r="L5" i="233"/>
  <c r="J5" i="233"/>
  <c r="L3" i="233"/>
  <c r="J3" i="233"/>
  <c r="N12" i="232"/>
  <c r="L12" i="232"/>
  <c r="J12" i="232"/>
  <c r="H12" i="232"/>
  <c r="E12" i="232"/>
  <c r="N11" i="232"/>
  <c r="L11" i="232"/>
  <c r="J11" i="232"/>
  <c r="H11" i="232"/>
  <c r="E11" i="232"/>
  <c r="N10" i="232"/>
  <c r="L10" i="232"/>
  <c r="J10" i="232"/>
  <c r="H10" i="232"/>
  <c r="E10" i="232"/>
  <c r="N9" i="232"/>
  <c r="L9" i="232"/>
  <c r="J9" i="232"/>
  <c r="H9" i="232"/>
  <c r="E9" i="232"/>
  <c r="N8" i="232"/>
  <c r="L8" i="232"/>
  <c r="J8" i="232"/>
  <c r="H8" i="232"/>
  <c r="E8" i="232"/>
  <c r="N7" i="232"/>
  <c r="L7" i="232"/>
  <c r="J7" i="232"/>
  <c r="H7" i="232"/>
  <c r="E7" i="232"/>
  <c r="N6" i="232"/>
  <c r="L6" i="232"/>
  <c r="J6" i="232"/>
  <c r="H6" i="232"/>
  <c r="E6" i="232"/>
  <c r="N5" i="232"/>
  <c r="L5" i="232"/>
  <c r="J5" i="232"/>
  <c r="H5" i="232"/>
  <c r="E5" i="232"/>
  <c r="N3" i="232"/>
  <c r="L3" i="232"/>
  <c r="J3" i="232"/>
  <c r="H3" i="232"/>
  <c r="E3" i="232"/>
  <c r="D14" i="143" l="1"/>
  <c r="G7" i="144" l="1"/>
  <c r="G8" i="144"/>
  <c r="G9" i="144"/>
  <c r="G10" i="144"/>
  <c r="G11" i="144"/>
  <c r="G12" i="144"/>
  <c r="G13" i="144"/>
  <c r="G14" i="144"/>
  <c r="G6" i="144"/>
  <c r="J14" i="144"/>
  <c r="J13" i="144"/>
  <c r="J12" i="144"/>
  <c r="J11" i="144"/>
  <c r="J10" i="144"/>
  <c r="J9" i="144"/>
  <c r="J8" i="144"/>
  <c r="J7" i="144"/>
  <c r="J6" i="144"/>
  <c r="M13" i="174" l="1"/>
  <c r="L13" i="174"/>
  <c r="I13" i="174"/>
  <c r="H13" i="174"/>
  <c r="G13" i="174"/>
  <c r="F13" i="174"/>
  <c r="M12" i="174"/>
  <c r="L12" i="174"/>
  <c r="K12" i="174"/>
  <c r="J12" i="174"/>
  <c r="M10" i="174"/>
  <c r="L10" i="174"/>
  <c r="K10" i="174"/>
  <c r="J10" i="174"/>
  <c r="G10" i="174"/>
  <c r="F10" i="174"/>
  <c r="E10" i="174"/>
  <c r="D10" i="174"/>
  <c r="C10" i="174"/>
  <c r="B10" i="174"/>
  <c r="E9" i="174"/>
  <c r="D9" i="174"/>
  <c r="L9" i="174"/>
  <c r="M9" i="174"/>
  <c r="M8" i="174"/>
  <c r="L8" i="174"/>
  <c r="G8" i="174"/>
  <c r="F8" i="174"/>
  <c r="C8" i="174"/>
  <c r="B8" i="174"/>
  <c r="M7" i="174"/>
  <c r="L7" i="174"/>
  <c r="K7" i="174"/>
  <c r="J7" i="174"/>
  <c r="G7" i="174"/>
  <c r="F7" i="174"/>
  <c r="M6" i="174"/>
  <c r="L6" i="174"/>
  <c r="K6" i="174"/>
  <c r="J6" i="174"/>
  <c r="H6" i="174"/>
  <c r="I6" i="174"/>
  <c r="D4" i="174" l="1"/>
  <c r="M4" i="174"/>
  <c r="L4" i="174"/>
  <c r="K4" i="174"/>
  <c r="J4" i="174"/>
  <c r="G4" i="174"/>
  <c r="F4" i="174"/>
  <c r="E4" i="174"/>
  <c r="K14" i="126" l="1"/>
  <c r="J14" i="126"/>
  <c r="C15" i="124" l="1"/>
  <c r="B14" i="125"/>
  <c r="C14" i="125"/>
  <c r="B15" i="124"/>
  <c r="B14" i="124"/>
  <c r="B16" i="121"/>
  <c r="C16" i="121"/>
  <c r="H13" i="171" l="1"/>
  <c r="J22" i="133" l="1"/>
  <c r="J23" i="133" s="1"/>
  <c r="K26" i="133"/>
  <c r="L26" i="133" s="1"/>
  <c r="K27" i="133"/>
  <c r="L27" i="133" s="1"/>
  <c r="K28" i="133"/>
  <c r="L28" i="133" s="1"/>
  <c r="K29" i="133"/>
  <c r="L29" i="133" s="1"/>
  <c r="K30" i="133"/>
  <c r="L30" i="133" s="1"/>
  <c r="K31" i="133"/>
  <c r="L31" i="133" s="1"/>
  <c r="K32" i="133"/>
  <c r="L32" i="133" s="1"/>
  <c r="K25" i="133"/>
  <c r="L25" i="133" s="1"/>
  <c r="I26" i="133"/>
  <c r="J26" i="133" s="1"/>
  <c r="I27" i="133"/>
  <c r="J27" i="133" s="1"/>
  <c r="I28" i="133"/>
  <c r="J28" i="133" s="1"/>
  <c r="I29" i="133"/>
  <c r="J29" i="133" s="1"/>
  <c r="I30" i="133"/>
  <c r="J30" i="133" s="1"/>
  <c r="I31" i="133"/>
  <c r="J31" i="133" s="1"/>
  <c r="I32" i="133"/>
  <c r="J32" i="133" s="1"/>
  <c r="I25" i="133"/>
  <c r="J25" i="133" s="1"/>
  <c r="I22" i="133"/>
  <c r="I23" i="133" s="1"/>
  <c r="F22" i="133"/>
  <c r="G22" i="133"/>
  <c r="H22" i="133"/>
  <c r="K22" i="133"/>
  <c r="L22" i="133"/>
  <c r="E22" i="133"/>
  <c r="L23" i="133" l="1"/>
  <c r="K23" i="133"/>
  <c r="G23" i="133"/>
  <c r="F23" i="133"/>
  <c r="E23" i="133"/>
  <c r="Q14" i="121"/>
  <c r="H23" i="133" l="1"/>
  <c r="D13" i="143" l="1"/>
  <c r="J13" i="135" l="1"/>
  <c r="I13" i="135"/>
  <c r="B15" i="121" l="1"/>
  <c r="C15" i="121"/>
  <c r="B13" i="125"/>
  <c r="C13" i="125"/>
  <c r="C14" i="124"/>
  <c r="C14" i="121" l="1"/>
  <c r="B14" i="121"/>
  <c r="C13" i="121"/>
  <c r="B13" i="121"/>
  <c r="C12" i="121"/>
  <c r="B12" i="121"/>
  <c r="O10" i="121"/>
  <c r="C10" i="121"/>
  <c r="B10" i="121"/>
  <c r="C9" i="121"/>
  <c r="B9" i="121"/>
  <c r="C8" i="121"/>
  <c r="B8" i="121"/>
  <c r="C6" i="121"/>
  <c r="B6" i="121"/>
  <c r="C9" i="124" l="1"/>
  <c r="I10" i="129"/>
  <c r="H10" i="129"/>
  <c r="H9" i="129"/>
  <c r="H8" i="129"/>
  <c r="I7" i="129"/>
  <c r="H7" i="129"/>
  <c r="I6" i="129"/>
  <c r="H6" i="129"/>
  <c r="I10" i="128"/>
  <c r="H10" i="128"/>
  <c r="C12" i="125"/>
  <c r="B12" i="125"/>
  <c r="C11" i="125"/>
  <c r="B11" i="125"/>
  <c r="C10" i="125"/>
  <c r="B10" i="125"/>
  <c r="C8" i="125"/>
  <c r="B8" i="125"/>
  <c r="C7" i="125"/>
  <c r="B7" i="125"/>
  <c r="C6" i="125"/>
  <c r="B6" i="125"/>
  <c r="C13" i="124"/>
  <c r="B13" i="124"/>
  <c r="C12" i="124"/>
  <c r="C11" i="124"/>
  <c r="C5" i="124"/>
  <c r="B5" i="124"/>
</calcChain>
</file>

<file path=xl/sharedStrings.xml><?xml version="1.0" encoding="utf-8"?>
<sst xmlns="http://schemas.openxmlformats.org/spreadsheetml/2006/main" count="3183" uniqueCount="1236">
  <si>
    <t>Report Name</t>
  </si>
  <si>
    <t>Table 4: Substantial Acquisition of Shares and Takeovers</t>
  </si>
  <si>
    <t>Table 10: Capital Raised by Listed Companies from the Primary Market through QIPs</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</si>
  <si>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</si>
  <si>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</si>
  <si>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</si>
  <si>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</si>
  <si>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</si>
  <si>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</si>
  <si>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</si>
  <si>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</si>
  <si>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</si>
  <si>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</si>
  <si>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</si>
  <si>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</si>
  <si>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</si>
  <si>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</si>
  <si>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</si>
  <si>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</si>
  <si>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</si>
  <si>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</si>
  <si>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</si>
  <si>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</si>
  <si>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</si>
  <si>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</si>
  <si>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</si>
  <si>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</si>
  <si>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</si>
  <si>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</si>
  <si>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</si>
  <si>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</si>
  <si>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</si>
  <si>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</si>
  <si>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</si>
  <si>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</si>
  <si>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</si>
  <si>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</si>
  <si>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Source: SEBI, NSDL.</t>
  </si>
  <si>
    <t>Sl.No.</t>
  </si>
  <si>
    <t>Name of the Issuer/Company</t>
  </si>
  <si>
    <t>Type of Issue</t>
  </si>
  <si>
    <t>Type of Instrument</t>
  </si>
  <si>
    <t>No. of Shares Issued</t>
  </si>
  <si>
    <t>Source: SEBI.</t>
  </si>
  <si>
    <t>Sl.No</t>
  </si>
  <si>
    <t>Target Company</t>
  </si>
  <si>
    <t>Acquirer</t>
  </si>
  <si>
    <t>Offer Opening Date</t>
  </si>
  <si>
    <t>Offer Closing Date</t>
  </si>
  <si>
    <t>Offer Size</t>
  </si>
  <si>
    <t>No. of 
Shares</t>
  </si>
  <si>
    <t>Year / Month</t>
  </si>
  <si>
    <t>Objectives</t>
  </si>
  <si>
    <t>Total</t>
  </si>
  <si>
    <t>Change in Control 
of Management</t>
  </si>
  <si>
    <t>Consolidation of
 Holdings</t>
  </si>
  <si>
    <t>Substantial 
Acquisition</t>
  </si>
  <si>
    <t>No. of Offers</t>
  </si>
  <si>
    <t>2019-20</t>
  </si>
  <si>
    <t>May-20</t>
  </si>
  <si>
    <t>Apr-20</t>
  </si>
  <si>
    <t>2020-21$</t>
  </si>
  <si>
    <t>Issue-Type</t>
  </si>
  <si>
    <t>Public</t>
  </si>
  <si>
    <t>Rights</t>
  </si>
  <si>
    <t>Listed</t>
  </si>
  <si>
    <t>IPOs</t>
  </si>
  <si>
    <t>At Par</t>
  </si>
  <si>
    <t>At Premium</t>
  </si>
  <si>
    <t>No. of issues</t>
  </si>
  <si>
    <t>Year/ Month</t>
  </si>
  <si>
    <t>No. of issue</t>
  </si>
  <si>
    <t>Source: SEBI</t>
  </si>
  <si>
    <t>Industry</t>
  </si>
  <si>
    <t>Sector-wise</t>
  </si>
  <si>
    <t>Region-wise</t>
  </si>
  <si>
    <t>Private</t>
  </si>
  <si>
    <t>Northern</t>
  </si>
  <si>
    <t>Eastern</t>
  </si>
  <si>
    <t>Western</t>
  </si>
  <si>
    <t>Southern</t>
  </si>
  <si>
    <t>Central</t>
  </si>
  <si>
    <t>Source: BSE, NSE and MSEI.</t>
  </si>
  <si>
    <t>Year/Month</t>
  </si>
  <si>
    <t>TOTAL</t>
  </si>
  <si>
    <t>No. of Issues</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</si>
  <si>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</si>
  <si>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</si>
  <si>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</si>
  <si>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</si>
  <si>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</si>
  <si>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</si>
  <si>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</si>
  <si>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</si>
  <si>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</si>
  <si>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</si>
  <si>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</si>
  <si>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</si>
  <si>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</si>
  <si>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</si>
  <si>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</si>
  <si>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</si>
  <si>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</si>
  <si>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</si>
  <si>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</si>
  <si>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</si>
  <si>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</si>
  <si>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</si>
  <si>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</si>
  <si>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</si>
  <si>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 xml:space="preserve">No. of companies traded </t>
  </si>
  <si>
    <t>No. of Trading Days</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</si>
  <si>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</si>
  <si>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</si>
  <si>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</si>
  <si>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</si>
  <si>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</si>
  <si>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</si>
  <si>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</si>
  <si>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</si>
  <si>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</si>
  <si>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</si>
  <si>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</si>
  <si>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Traded</t>
  </si>
  <si>
    <t>Turnover (₹ crore)</t>
  </si>
  <si>
    <t>Average Daily Turnover (₹ crore)</t>
  </si>
  <si>
    <t>Demat Turnover (₹ crore)</t>
  </si>
  <si>
    <t xml:space="preserve">SX 50 Index </t>
  </si>
  <si>
    <t>Source: MSEI</t>
  </si>
  <si>
    <t>S.No</t>
  </si>
  <si>
    <t>City</t>
  </si>
  <si>
    <t>Ahmedabad</t>
  </si>
  <si>
    <t>Bengaluru</t>
  </si>
  <si>
    <t>Vadodra</t>
  </si>
  <si>
    <t>Bhubneshwar</t>
  </si>
  <si>
    <t>Chennai</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</si>
  <si>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</si>
  <si>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</si>
  <si>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</si>
  <si>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</si>
  <si>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</si>
  <si>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</si>
  <si>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</si>
  <si>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</si>
  <si>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</si>
  <si>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</si>
  <si>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</si>
  <si>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</si>
  <si>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</si>
  <si>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</si>
  <si>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</si>
  <si>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</si>
  <si>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</si>
  <si>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</si>
  <si>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</si>
  <si>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</si>
  <si>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</si>
  <si>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</si>
  <si>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</si>
  <si>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</si>
  <si>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Beta</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</si>
  <si>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</si>
  <si>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</si>
  <si>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</si>
  <si>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</si>
  <si>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</si>
  <si>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Housing Development Finance Corporation Ltd.</t>
  </si>
  <si>
    <t>Infosys Ltd.</t>
  </si>
  <si>
    <t>ICICI Bank Ltd.</t>
  </si>
  <si>
    <t>Tata Consultancy Services Ltd.</t>
  </si>
  <si>
    <t>ITC Ltd.</t>
  </si>
  <si>
    <t>Kotak Mahindra Bank Ltd.</t>
  </si>
  <si>
    <t>Hindustan Unilever Ltd.</t>
  </si>
  <si>
    <t>Bharti Airtel Ltd.</t>
  </si>
  <si>
    <t>Larsen &amp; Toubro Ltd.</t>
  </si>
  <si>
    <t>Axis Bank Ltd.</t>
  </si>
  <si>
    <t>Asian Paints Ltd.</t>
  </si>
  <si>
    <t>Maruti Suzuki India Ltd.</t>
  </si>
  <si>
    <t>Nestle India Ltd.</t>
  </si>
  <si>
    <t>State Bank of India</t>
  </si>
  <si>
    <t>HCL Technologies Ltd.</t>
  </si>
  <si>
    <t>Bajaj Finance Ltd.</t>
  </si>
  <si>
    <t>Sun Pharmaceutical Industries Ltd.</t>
  </si>
  <si>
    <t>Dr. Reddy's Laboratories Ltd.</t>
  </si>
  <si>
    <t>NTPC Ltd.</t>
  </si>
  <si>
    <t>UltraTech Cement Ltd.</t>
  </si>
  <si>
    <t>Mahindra &amp; Mahindra Ltd.</t>
  </si>
  <si>
    <t>Power Grid Corporation of India Ltd.</t>
  </si>
  <si>
    <t>Britannia Industries Ltd.</t>
  </si>
  <si>
    <t>Titan Company Ltd.</t>
  </si>
  <si>
    <t>Bajaj Auto Ltd.</t>
  </si>
  <si>
    <t>Cipla Ltd.</t>
  </si>
  <si>
    <t>Tech Mahindra Ltd.</t>
  </si>
  <si>
    <t>Wipro Ltd.</t>
  </si>
  <si>
    <t>Hero MotoCorp Ltd.</t>
  </si>
  <si>
    <t>Oil &amp; Natural Gas Corporation Ltd.</t>
  </si>
  <si>
    <t>Coal India Ltd.</t>
  </si>
  <si>
    <t>Shree Cement Ltd.</t>
  </si>
  <si>
    <t>Bharat Petroleum Corporation Ltd.</t>
  </si>
  <si>
    <t>Bajaj Finserv Ltd.</t>
  </si>
  <si>
    <t>Adani Ports and Special Economic Zone Ltd.</t>
  </si>
  <si>
    <t>IndusInd Bank Ltd.</t>
  </si>
  <si>
    <t>Grasim Industries Ltd.</t>
  </si>
  <si>
    <t>Eicher Motors Ltd.</t>
  </si>
  <si>
    <t>UPL Ltd.</t>
  </si>
  <si>
    <t>Tata Steel Ltd.</t>
  </si>
  <si>
    <t>Indian Oil Corporation Ltd.</t>
  </si>
  <si>
    <t>Hindalco Industries Ltd.</t>
  </si>
  <si>
    <t>JSW Steel Ltd.</t>
  </si>
  <si>
    <t>GAIL (India) Ltd.</t>
  </si>
  <si>
    <t>Tata Motors Ltd.</t>
  </si>
  <si>
    <t>3. Volatility is the standard deviation of the daily returns for the the trailing 12 months.</t>
  </si>
  <si>
    <t>S.No.</t>
  </si>
  <si>
    <t>Issued Capital     (₹ crore)</t>
  </si>
  <si>
    <t>Free Float Market Capitalisation (₹ crore)</t>
  </si>
  <si>
    <t>Na</t>
  </si>
  <si>
    <t>1. Market Cap, Beta &amp; R2 as on the last day of the month</t>
  </si>
  <si>
    <t>3. Volatility for the current month</t>
  </si>
  <si>
    <t>Advances</t>
  </si>
  <si>
    <t>Declines</t>
  </si>
  <si>
    <t>Advance/Decline Ratio</t>
  </si>
  <si>
    <t>Month</t>
  </si>
  <si>
    <t>No. of Companies Listed</t>
  </si>
  <si>
    <t>BSE Sensex</t>
  </si>
  <si>
    <t>BSE 100</t>
  </si>
  <si>
    <t>BSE 500</t>
  </si>
  <si>
    <t>Nifty 50</t>
  </si>
  <si>
    <t>Nifty Next 50</t>
  </si>
  <si>
    <t>Nifty 500</t>
  </si>
  <si>
    <t>SX40</t>
  </si>
  <si>
    <t>Source: BSE, MSEI and NSE.</t>
  </si>
  <si>
    <t>Top</t>
  </si>
  <si>
    <t>5</t>
  </si>
  <si>
    <t>10</t>
  </si>
  <si>
    <t>25</t>
  </si>
  <si>
    <t>50</t>
  </si>
  <si>
    <t>100</t>
  </si>
  <si>
    <t>Securities</t>
  </si>
  <si>
    <t>Members</t>
  </si>
  <si>
    <t>Equity</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</si>
  <si>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</si>
  <si>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</si>
  <si>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</si>
  <si>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</si>
  <si>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</si>
  <si>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</si>
  <si>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</si>
  <si>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13 : Trading in the Corporate Debt Market</t>
  </si>
  <si>
    <t>Table 14 : Ratings Assigned for Long-term Corporate Debt Securities (Maturity ≥ 1 year)</t>
  </si>
  <si>
    <t>Table 15 : Review of Accepted Ratings of Corporate Debt Securities (Maturity ≥ 1 year)</t>
  </si>
  <si>
    <t>Table 17 : Trends in Cash Segment of BSE</t>
  </si>
  <si>
    <t>Table 18 : Trends in Cash Segment of NSE</t>
  </si>
  <si>
    <t>Table 19 : Trends in Cash Segment of MSEI</t>
  </si>
  <si>
    <t>Table 21 : Category-wise Share of Turnover in Cash Segment of BSE</t>
  </si>
  <si>
    <t>Table 22 : Category-wise Share of Turnover in Cash Segment of NSE</t>
  </si>
  <si>
    <t>Table 23 : Category-wise Share of Turnover in Cash Segment of MSEI</t>
  </si>
  <si>
    <t>Table 31 : Settlement Statistics for Cash Segment of ICCL</t>
  </si>
  <si>
    <t>Table 33 : Settlement Statistics for Cash Segment of MCCIL</t>
  </si>
  <si>
    <t>Table 34 : Trends in Equity Derivatives Segment at BSE (Turnover in Notional Value)</t>
  </si>
  <si>
    <t>Table 35 : Trends in Equity Derivatives Segment at NSE (Turnover in Notional Value)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</si>
  <si>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</si>
  <si>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</si>
  <si>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</si>
  <si>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</si>
  <si>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</si>
  <si>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</si>
  <si>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</si>
  <si>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45 : Instrument-wise Turnover in Currency Derivative Segment of BSE</t>
  </si>
  <si>
    <t>Table 46 : Instrument-wise Turnover in Currency Derivatives of NSE</t>
  </si>
  <si>
    <t>Table 47 : Instrument-wise Turnover in Currency Derivative Segment of MSEI</t>
  </si>
  <si>
    <t>Table 53 : Trends in Foreign Portfolio Investment</t>
  </si>
  <si>
    <t>Table 55 : Assets under the Custody of Custodians</t>
  </si>
  <si>
    <t>Table 57 : Status of Mutual Funds Industry in India</t>
  </si>
  <si>
    <t>Table 61 : Progress of Dematerialisation at NSDL and CDSL (Listed and Unlisted Companies)</t>
  </si>
  <si>
    <t>Table 74 : Macro Economic Indicators</t>
  </si>
  <si>
    <t>NA</t>
  </si>
  <si>
    <t xml:space="preserve">Table 5:  Capital Raised from the Primary Market through  Public and Rights Issues </t>
  </si>
  <si>
    <t>Total (Equity + Debt)</t>
  </si>
  <si>
    <t>Equity Issue</t>
  </si>
  <si>
    <t>Debt Issue</t>
  </si>
  <si>
    <t>Amount  (₹crore)</t>
  </si>
  <si>
    <t>Amount (₹ crore)</t>
  </si>
  <si>
    <t>1. Equity public issues also includes issues listed on SME platform.</t>
  </si>
  <si>
    <t>Table 6:  Issues Listed on SME Platform</t>
  </si>
  <si>
    <t>Table 7:  Industry-wise Classification of Capital Raised through Public and Rights Issues (Equity)</t>
  </si>
  <si>
    <t>Amount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</si>
  <si>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</si>
  <si>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</si>
  <si>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</si>
  <si>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</si>
  <si>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</si>
  <si>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</si>
  <si>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</si>
  <si>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</si>
  <si>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</si>
  <si>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</si>
  <si>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</si>
  <si>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</si>
  <si>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</si>
  <si>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Insurance</t>
  </si>
  <si>
    <t>Oil &amp; Natural Gas</t>
  </si>
  <si>
    <t>Plastic</t>
  </si>
  <si>
    <t>Power</t>
  </si>
  <si>
    <t>Printing</t>
  </si>
  <si>
    <t>Roads &amp; Highways</t>
  </si>
  <si>
    <t>Telecom</t>
  </si>
  <si>
    <t>Textile</t>
  </si>
  <si>
    <t>Misc</t>
  </si>
  <si>
    <t>Table 8:  Sector-wise and Region-wise Distribution of Capital Mobilised through Public and Rights Issues (Equity)</t>
  </si>
  <si>
    <t>Table 9:  Size-wise Classification of Capital Raised through Public and Rights Issues (Equity)</t>
  </si>
  <si>
    <t>Jun-20</t>
  </si>
  <si>
    <t>Date of Listing</t>
  </si>
  <si>
    <t xml:space="preserve"> Offers</t>
  </si>
  <si>
    <t>3. The data of Debt is being prepared based on closing date.</t>
  </si>
  <si>
    <t>Table 1: SEBI Recognised/Registered Intermediaries / Market Infrastructure Institutions</t>
  </si>
  <si>
    <t>Table 11: Preferential Allotments Listed at Stock Exchanges</t>
  </si>
  <si>
    <t>Particular</t>
  </si>
  <si>
    <t>Table 12: Private Placement of Corporate Debt Reported to Stock Exchanges</t>
  </si>
  <si>
    <t>Table 16 : Distribution of Turnover on Cash Segments of Stock Exchanges  (₹crore)</t>
  </si>
  <si>
    <t>Infrastructure Investment Trusts (InvITs)</t>
  </si>
  <si>
    <t>Table 3 :  Open Offers Closed under SAST Regulations (during the month)</t>
  </si>
  <si>
    <t>Category-wise</t>
  </si>
  <si>
    <t>Instrument-wise</t>
  </si>
  <si>
    <t>Table 2 : Company-wise Capital Raised through Public and Rights Issues (Equity) during the month</t>
  </si>
  <si>
    <t>Table 11 : Preferential Allotments Listed at Stock Exchanges</t>
  </si>
  <si>
    <t>Table 12 : Private Placement of Corporate Debt Reported to Stock Exchanges</t>
  </si>
  <si>
    <t>Table 1 : SEBI Registered Market Intermediaries/Market Infrastructure Institutions</t>
  </si>
  <si>
    <t xml:space="preserve">Table 20 : City-wise Distribution of Turnover on Cash Segment of Exchanges </t>
  </si>
  <si>
    <t>Table 27 : Advances/Declines in Cash Segment of Exchanges</t>
  </si>
  <si>
    <t>Table 28: Trading Frequency in Cash Segment of Exchanges</t>
  </si>
  <si>
    <t>Table 28 : Trading Frequency in Cash Segment of of Exchanges</t>
  </si>
  <si>
    <t>(per cent)</t>
  </si>
  <si>
    <t xml:space="preserve">Table 44 : Settlement Statistics of Currency Derivatives Segment </t>
  </si>
  <si>
    <t xml:space="preserve">Table 48 : Maturity-wise Turnover in Currency Derivative Segment of BSE </t>
  </si>
  <si>
    <t xml:space="preserve">Table 49 : Maturity-wise Turnover in Currency Derivative Segment of NSE </t>
  </si>
  <si>
    <t xml:space="preserve">Table 29 : Daily Volatility of Major Indices  </t>
  </si>
  <si>
    <t xml:space="preserve">Table 50 : Maturity-wise Turnover in Currency Derivative Segment of MSEI </t>
  </si>
  <si>
    <t>Table 54 : Notional Value of Offshore Derivative Instruments (ODIs) compared to Assets Under Custody (AUC) of FPIs/Deemed FPIs</t>
  </si>
  <si>
    <t>Table 56 : Trends in Resource Mobilization by Mutual Funds</t>
  </si>
  <si>
    <t>Table 58 : Trends in Transactions on Stock Exchanges by Mutual Funds</t>
  </si>
  <si>
    <t>Table 59 : Assets Managed by Portfolio Managers</t>
  </si>
  <si>
    <t>Table 63 : Number of Commodities Permitted and Traded at Exchanges</t>
  </si>
  <si>
    <t>Table 64 : Trends in Commodity Indices</t>
  </si>
  <si>
    <t xml:space="preserve">Table 65 : Trends in Commodity Derivatives at MCX </t>
  </si>
  <si>
    <t>Table 67 : Trends in Commodity Derivatives at ICEX</t>
  </si>
  <si>
    <t>Table 68 : Trends in Commodity Derivatives Segment at BSE</t>
  </si>
  <si>
    <t>Table 69 : Trends in Commodity Derivatives Segment at NSE</t>
  </si>
  <si>
    <t>Table 71 : Commodity-wise Turnover and Trading Volume at MCX</t>
  </si>
  <si>
    <t xml:space="preserve">Table 72 : Commodity-wise Turnover and Trading Volume at NCDEX </t>
  </si>
  <si>
    <t>Table 73 : Commodity-wise Turnover and Trading Volume at ICEX, BSE and NSE</t>
  </si>
  <si>
    <t xml:space="preserve">Table 30 : Percentage Share of Top ‘N’ Securities/Members in Turnover of Cash Segment of Exchanges </t>
  </si>
  <si>
    <t>as per cent of Equity 
Capital</t>
  </si>
  <si>
    <t>2. From April, 2020 onwards the data of equity is being prepared based on the listing date of the issues as against earlier practice of preparing it based on the closing date.</t>
  </si>
  <si>
    <t>From April, 2020 onwards the data of equity is being prepared based on the listing date of the issues as against earlier practice of preparing it based on the closing date.</t>
  </si>
  <si>
    <t>Notes -</t>
  </si>
  <si>
    <t xml:space="preserve">Table 36 : Settlement Statistics in Equity Derivatives Segment </t>
  </si>
  <si>
    <t>Jul-20</t>
  </si>
  <si>
    <t>No. of Trades (Lakh)</t>
  </si>
  <si>
    <t>Traded Quantity (Lakh)</t>
  </si>
  <si>
    <t>Demat Securities Traded (Lakh)</t>
  </si>
  <si>
    <t>(Percentage share in Turnover)</t>
  </si>
  <si>
    <t>HDFC Life Insurance Company Ltd.</t>
  </si>
  <si>
    <t>Table 29: Daily Volatility of Major Indices</t>
  </si>
  <si>
    <t>* The data of the Market Capitalization provided in the Bulletin includes listed as well as permitted to trade companies</t>
  </si>
  <si>
    <t>The city-wise distribution of turnover is based on the cities uploaded in the UCC database of the Exchange for clientele trades and members registered office city for proprietary trades.</t>
  </si>
  <si>
    <t>4. *Since there is no trading in the SX40 constituents, the Impact Cost for the given stocks is NiL.</t>
  </si>
  <si>
    <t xml:space="preserve">Table 20: City-wise Distribution of Turnover on Cash Segments </t>
  </si>
  <si>
    <t xml:space="preserve">Table 27: Advances/Declines in Cash Segment </t>
  </si>
  <si>
    <t>Weightage (per cent)</t>
  </si>
  <si>
    <t>Daily
Volatility
(per cent)</t>
  </si>
  <si>
    <t>Monthly
Return
(per cent)</t>
  </si>
  <si>
    <t>Impact
Cost
(per cent)</t>
  </si>
  <si>
    <t xml:space="preserve">Weightage (per cent)   </t>
  </si>
  <si>
    <t>Daily Volatility (per cent)</t>
  </si>
  <si>
    <t>Monthly Return (per cent)</t>
  </si>
  <si>
    <t>Impact Cost (per cent) *</t>
  </si>
  <si>
    <t>Traded to Listed (per cent)</t>
  </si>
  <si>
    <t>Table 30: Percentage Share of Top ‘N’ Securities/Members in Turnover of Cash Segment of Exchanges (per cent)</t>
  </si>
  <si>
    <t>Listed only on NSE</t>
  </si>
  <si>
    <t>Listed only on BSE</t>
  </si>
  <si>
    <t>Listed both Both NSE and BSE</t>
  </si>
  <si>
    <t>Market  Capitalisation (₹ crore) *</t>
  </si>
  <si>
    <t>Banks/FIs</t>
  </si>
  <si>
    <t>Aug-20 *</t>
  </si>
  <si>
    <t>Aug-20</t>
  </si>
  <si>
    <t>Corporate  Brokers(Cash Segment)</t>
  </si>
  <si>
    <t>Sep-20</t>
  </si>
  <si>
    <t>Divi's Laboratories Ltd.</t>
  </si>
  <si>
    <t>SBI Life Insurance Company Ltd.</t>
  </si>
  <si>
    <t>Table 60 : Progress Report of NSDL &amp; CDSL for Listed Companies</t>
  </si>
  <si>
    <t xml:space="preserve">Table 62 : Depository Statistics </t>
  </si>
  <si>
    <t>Notes - From April, 2020 onwards the data of equity is being prepared based on the listing date of the issues as against earlier practice of preparing it based on the closing date.</t>
  </si>
  <si>
    <t>Oct-20</t>
  </si>
  <si>
    <t xml:space="preserve">Table 24 : Component Stocks: S&amp;P BSE Sensex </t>
  </si>
  <si>
    <t xml:space="preserve">Table 25 : Component Stocks: Nifty 50 Index </t>
  </si>
  <si>
    <t xml:space="preserve">Table 26 : Component Stocks: SX40 Index during   </t>
  </si>
  <si>
    <t>Nov-20</t>
  </si>
  <si>
    <t>Sept-20</t>
  </si>
  <si>
    <t>4. Impact cost is calculated as the difference between actual buy price and ideal buy price, divided by ideal buy price, multiplied by 100. Hence ideal price is calculated as (best buy + best sell)/2. The above is calculated for a month for the portfolio size of ` 5 lakh.  It is calculated for the current month.</t>
  </si>
  <si>
    <t>Traded Value (₹crore)</t>
  </si>
  <si>
    <t>Amount  (₹ crore)</t>
  </si>
  <si>
    <t>Demat Turnover (₹crore)</t>
  </si>
  <si>
    <t xml:space="preserve">Market  Capitalisation (₹ crore) </t>
  </si>
  <si>
    <t>Average Daily Turnover (₹crore)</t>
  </si>
  <si>
    <t xml:space="preserve"># SEBI has granted recognition for carrying out operations in the respective segment. </t>
  </si>
  <si>
    <t>≥ ₹5crore - &lt; ₹10crore</t>
  </si>
  <si>
    <t xml:space="preserve">  ≥₹ 10 crore - &lt; ₹50 crore</t>
  </si>
  <si>
    <t xml:space="preserve">  ≥₹ 50 crore - &lt; ₹100 crore</t>
  </si>
  <si>
    <t xml:space="preserve">  ≥ ₹100 crore - &lt; ₹500 crore</t>
  </si>
  <si>
    <t>&gt;=₹500 crore</t>
  </si>
  <si>
    <t>9</t>
  </si>
  <si>
    <t xml:space="preserve">Stock Exchanges </t>
  </si>
  <si>
    <t xml:space="preserve">      of that have:</t>
  </si>
  <si>
    <t xml:space="preserve">             Cash Segment #</t>
  </si>
  <si>
    <t xml:space="preserve">             Equity Derivatives Segment #</t>
  </si>
  <si>
    <t xml:space="preserve">            Currency Derivatives Segment#</t>
  </si>
  <si>
    <t xml:space="preserve">            Commodity Derivatives Segment#</t>
  </si>
  <si>
    <t>BSE@</t>
  </si>
  <si>
    <t>NSE@</t>
  </si>
  <si>
    <t>MSEI @</t>
  </si>
  <si>
    <t>Common#</t>
  </si>
  <si>
    <t>No.of  issues</t>
  </si>
  <si>
    <t>Notes :</t>
  </si>
  <si>
    <t>1. @ The issues are exclusively listed on respective exchanges.</t>
  </si>
  <si>
    <t>2. # The issues listed on 'any two' or 'all three' exchanges.</t>
  </si>
  <si>
    <t>Table 32 : Settlement Statistics for Cash Segment of NCL</t>
  </si>
  <si>
    <t>#% IFSC are now under regulatory jurisdiction of International Financial Services Centres Authority (IFSCA) w.e.f. October 01, 2020</t>
  </si>
  <si>
    <t>5. Impact Cost for Nifty 50 is for a portfolio of Rs. 50 lakhs  and is weightage average impact cost.</t>
  </si>
  <si>
    <t>Table 51 : Trading Statistics in Interest Rate Derivatives Segment</t>
  </si>
  <si>
    <t xml:space="preserve">Table 52 : Settlement Statistics in Interest Rate Derivatives Segment </t>
  </si>
  <si>
    <t>Table 66 : Trends in Commodity Derivatives at NCDEX</t>
  </si>
  <si>
    <t>Source: BSE, NSE &amp; MSEI</t>
  </si>
  <si>
    <t>Average Trade Size (₹ )</t>
  </si>
  <si>
    <r>
      <t>From April, 2020 onwards the data is being prepared based on the listing date of the issues</t>
    </r>
    <r>
      <rPr>
        <sz val="10"/>
        <color rgb="FF1F497D"/>
        <rFont val="Palatino Linotype"/>
        <family val="1"/>
      </rPr>
      <t> </t>
    </r>
    <r>
      <rPr>
        <sz val="10"/>
        <color rgb="FF000000"/>
        <rFont val="Palatino Linotype"/>
        <family val="1"/>
      </rPr>
      <t>as against earlier practice of preparing it based on the closing date.</t>
    </r>
  </si>
  <si>
    <t>Face Value (₹   )</t>
  </si>
  <si>
    <t>Premium Value (₹   )</t>
  </si>
  <si>
    <t>Issue Price (₹   )</t>
  </si>
  <si>
    <t>Size of Issue  ( ₹   crore)</t>
  </si>
  <si>
    <t>Offer  Price 
(₹   ) per share</t>
  </si>
  <si>
    <t>Offer Size 
 ( ₹   crore)</t>
  </si>
  <si>
    <t>Amount  
( ₹   crore)</t>
  </si>
  <si>
    <t>Amount 
( ₹   crore)</t>
  </si>
  <si>
    <t>Notes: All the issues are compiled from the Prospectus of Issuer Companies filed with SEBI.</t>
  </si>
  <si>
    <t>&lt; ₹ 5 crore</t>
  </si>
  <si>
    <t>* In the month of August 2020, the common amount on BSE and NSE includes warrants of HDFC Ltd of ₹ 3,999.99 cr</t>
  </si>
  <si>
    <r>
      <t>R</t>
    </r>
    <r>
      <rPr>
        <b/>
        <vertAlign val="superscript"/>
        <sz val="10"/>
        <color indexed="8"/>
        <rFont val="Palatino Linotype"/>
        <family val="1"/>
      </rPr>
      <t>2</t>
    </r>
  </si>
  <si>
    <t>Table 16: Distribution of Turnover on Cash Segments of Stock Exchanges (₹crore)</t>
  </si>
  <si>
    <r>
      <rPr>
        <b/>
        <sz val="10"/>
        <color indexed="8"/>
        <rFont val="Palatino Linotype"/>
        <family val="1"/>
      </rPr>
      <t>Note</t>
    </r>
    <r>
      <rPr>
        <sz val="10"/>
        <color indexed="8"/>
        <rFont val="Palatino Linotype"/>
        <family val="1"/>
      </rPr>
      <t>- No. - Number</t>
    </r>
  </si>
  <si>
    <r>
      <t>2. Beta &amp; R</t>
    </r>
    <r>
      <rPr>
        <vertAlign val="superscript"/>
        <sz val="10"/>
        <color indexed="8"/>
        <rFont val="Palatino Linotype"/>
        <family val="1"/>
      </rPr>
      <t>2</t>
    </r>
    <r>
      <rPr>
        <sz val="10"/>
        <color indexed="8"/>
        <rFont val="Palatino Linotype"/>
        <family val="1"/>
      </rPr>
      <t xml:space="preserve"> are calculated for the trailing 12 months</t>
    </r>
  </si>
  <si>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</si>
  <si>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t>Issued Capital 
(₹ crore)</t>
  </si>
  <si>
    <t>Free Float
Market
Capitalisation
( ₹ crore)</t>
  </si>
  <si>
    <t>Issued
Capital 
(₹   crore)</t>
  </si>
  <si>
    <t>Free Float Market
Capitalisation
(₹  crore)</t>
  </si>
  <si>
    <t>1</t>
  </si>
  <si>
    <t>2</t>
  </si>
  <si>
    <t>3</t>
  </si>
  <si>
    <t>Dec-20</t>
  </si>
  <si>
    <t>April-20</t>
  </si>
  <si>
    <t xml:space="preserve">  1.@ The issues are exclusively listed on respective exchanges.</t>
  </si>
  <si>
    <t>Dec- 20</t>
  </si>
  <si>
    <t>No. of Companies Permitted</t>
  </si>
  <si>
    <t>Average Trade Size (₹)</t>
  </si>
  <si>
    <t xml:space="preserve">No. of Companies Permitted </t>
  </si>
  <si>
    <t>RELIANCE INDUSTRIES LTD.</t>
  </si>
  <si>
    <t>HDFC BANK LTD.</t>
  </si>
  <si>
    <t>HOUSING DEVELOPMENT FINANCE CO</t>
  </si>
  <si>
    <t>INFOSYS LTD.</t>
  </si>
  <si>
    <t>ICICI BANK LTD.</t>
  </si>
  <si>
    <t>TATA CONSULTANCY SERVICES LTD.</t>
  </si>
  <si>
    <t>KOTAK MAHINDRA BANK LTD.</t>
  </si>
  <si>
    <t>HINDUSTAN UNILEVER LTD.</t>
  </si>
  <si>
    <t>ITC LTD.</t>
  </si>
  <si>
    <t>AXIS BANK LTD.</t>
  </si>
  <si>
    <t>LARSEN &amp; TOUBRO LTD.</t>
  </si>
  <si>
    <t>BAJAJ FINANCE LIMITED</t>
  </si>
  <si>
    <t>ASIAN PAINTS LTD.</t>
  </si>
  <si>
    <t>BHARTI AIRTEL LTD.</t>
  </si>
  <si>
    <t>STATE BANK OF INDIA</t>
  </si>
  <si>
    <t>HCL TECHNOLOGIES LTD.</t>
  </si>
  <si>
    <t>MARUTI SUZUKI INDIA LTD.</t>
  </si>
  <si>
    <t>MAHINDRA &amp; MAHINDRA LTD.</t>
  </si>
  <si>
    <t>NESTLE INDIA LTD.</t>
  </si>
  <si>
    <t>TITAN COMPANY LIMITED</t>
  </si>
  <si>
    <t>SUN PHARMACEUTICAL INDUSTRIES</t>
  </si>
  <si>
    <t>DR.REDDYS LABORATORIES LTD.</t>
  </si>
  <si>
    <t>ULTRATECH CEMENT LTD.</t>
  </si>
  <si>
    <t>TECH MAHINDRA LTD.</t>
  </si>
  <si>
    <t>BAJAJ FINSERV LTD.</t>
  </si>
  <si>
    <t>INDUSIND BANK LTD.</t>
  </si>
  <si>
    <t>POWER GRID CORPORATION OF INDI</t>
  </si>
  <si>
    <t>NTPC LTD.</t>
  </si>
  <si>
    <t>BAJAJ AUTO LTD.</t>
  </si>
  <si>
    <t>OIL AND NATURAL GAS CORPORATIO</t>
  </si>
  <si>
    <t>Notes: 1. Beta &amp; R2 are calculated for the trailing 12 months. Beta measures the  degree to which any portfolio of stocks is affected as compared to the effect on the market as a whole.</t>
  </si>
  <si>
    <t>Notes: 1. Beta &amp; R2 are calculated for the the trailing 12 months. Beta measures the  degree to which any portfolio of stocks is affected as compared to the effect on the market as a whole.</t>
  </si>
  <si>
    <t xml:space="preserve">Notes:  Advance/Decline is calculated based on the average price methodology.                                                                           </t>
  </si>
  <si>
    <t>Dec -20</t>
  </si>
  <si>
    <t>Notes: Volatility is calculated as the standard deviation of the natural log of daily returns in indices for the respective period.</t>
  </si>
  <si>
    <t>Notes: 1. Data for Top N scrips has been compiled for all markets except auction market &amp; retail debt market and includes series EQ, BE,BT, BL and IL.</t>
  </si>
  <si>
    <t>Data for 2019-20 and 2020-21 include data of INFOMERICS Valuation abd Rating Private Limited</t>
  </si>
  <si>
    <t>Real estate investment trust (REITs)</t>
  </si>
  <si>
    <t>Table 31: Settlement Statistics for Cash Segment of ICCL</t>
  </si>
  <si>
    <t>Year /  Month</t>
  </si>
  <si>
    <t>No. of Trades (lakh)</t>
  </si>
  <si>
    <t>Traded Quantity   (lakh)</t>
  </si>
  <si>
    <t>Delivered Quantity   (lakh)</t>
  </si>
  <si>
    <t>Delivered Quantity to Traded Quantity (per cent)</t>
  </si>
  <si>
    <t>Delivered Value   (₹ crore)</t>
  </si>
  <si>
    <t>Delivered Value to Total Turnover (per cent)</t>
  </si>
  <si>
    <t>Delivered Quantity in Demat Mode (lakh)</t>
  </si>
  <si>
    <t>Demat Delivered Quantity to Total Delivered Quantity (per cent)</t>
  </si>
  <si>
    <t>Delivered Value in Demat Mode     (₹ crore)</t>
  </si>
  <si>
    <t>Demat Delivered Value to Total Delivered Value (per cent)</t>
  </si>
  <si>
    <t>Short Delivery (Auctioned quantity) (lakh)</t>
  </si>
  <si>
    <t>Short Delivery to Delivered Quantity (per cent)</t>
  </si>
  <si>
    <t>Funds Pay-in (₹ crore)</t>
  </si>
  <si>
    <t>Securities Pay-in (₹ crore)</t>
  </si>
  <si>
    <t>Settlement Guarantee Fund (₹  crore)</t>
  </si>
  <si>
    <t>Note:</t>
  </si>
  <si>
    <t>1. The figure of Settlement Guarantee Fund has been computed in accordance with the Scheme of Arrangement approved by Honorable High Court, Bombay  for transferring the clearing and settlement division of BSE Limited to its wholly owned subsidiary, namely, Indian Clearing Corporation Limited and thus does not include the Trade Guarantee Fund (TGF) of BSE Limited as on 01/04/2011 along with accretion thereon.</t>
  </si>
  <si>
    <t>Source: ICCL</t>
  </si>
  <si>
    <t>Table 32: Settlement Statistics for Cash Segment of NCL</t>
  </si>
  <si>
    <t>Short Delivery to Delivery Quantity (per cent)</t>
  </si>
  <si>
    <t>1.  Settlement Statistics for settlement type N, excluding CM Series IL &amp; BL</t>
  </si>
  <si>
    <t>Source: NCL</t>
  </si>
  <si>
    <t>Table 33: Settlement Statistics for Cash Segment of MCCIL</t>
  </si>
  <si>
    <t>Month Sorting</t>
  </si>
  <si>
    <t>Delivered Quantity   (Lakh)</t>
  </si>
  <si>
    <t>Delivered Value      (₹ crore)</t>
  </si>
  <si>
    <t>Delivered Quantity in Demat Mode (Lakh)</t>
  </si>
  <si>
    <t>Settlement Guarantee Fund(₹ crore)</t>
  </si>
  <si>
    <t>Source: MCCIL</t>
  </si>
  <si>
    <t xml:space="preserve">Table 34: Trends in Equity Derivatives Segment at BSE (Turnover in Notional Value) </t>
  </si>
  <si>
    <t>Year/     Month</t>
  </si>
  <si>
    <t>Index Futures</t>
  </si>
  <si>
    <t>Stock Futures</t>
  </si>
  <si>
    <t>Index Options</t>
  </si>
  <si>
    <t>Stock Options</t>
  </si>
  <si>
    <t>Open Interest at the end of Month</t>
  </si>
  <si>
    <t>Call</t>
  </si>
  <si>
    <t>Put</t>
  </si>
  <si>
    <t>No. of
Contracts</t>
  </si>
  <si>
    <t>Turnover
(₹ crore)</t>
  </si>
  <si>
    <t>No. of
contracts</t>
  </si>
  <si>
    <t xml:space="preserve">Notes: </t>
  </si>
  <si>
    <t>1. Notional Turnover = (Strike Price + Premium) * Quantity.</t>
  </si>
  <si>
    <t xml:space="preserve">Table 35: Trends in Equity Derivatives Segment at NSE (Turnover in Notional Value) </t>
  </si>
  <si>
    <t xml:space="preserve">Table 36: Settlement Statistics in Equity Derivatives Segment </t>
  </si>
  <si>
    <t xml:space="preserve"> (₹ crore)</t>
  </si>
  <si>
    <t>Index/Stock
Futures</t>
  </si>
  <si>
    <t>Index/Stock
Options</t>
  </si>
  <si>
    <t>Settlement
Gurantee
Fund</t>
  </si>
  <si>
    <t>MTM
Settlement</t>
  </si>
  <si>
    <t>Final
Settlement</t>
  </si>
  <si>
    <t>Premium
Settlement</t>
  </si>
  <si>
    <t>Exercise
Settlement</t>
  </si>
  <si>
    <t xml:space="preserve">Note: </t>
  </si>
  <si>
    <t>Source: ICCL and NCL</t>
  </si>
  <si>
    <t>Table 37: Category-wise Share of Turnover &amp; Open Interest in Equity Derivative Segment of BSE</t>
  </si>
  <si>
    <t>Percentage Share in Open Interest</t>
  </si>
  <si>
    <t>Pro</t>
  </si>
  <si>
    <t>FPI</t>
  </si>
  <si>
    <t>Table 38: Category-wise Share of Turnover &amp; Open Interest in Equity Derivative Segment of NSE</t>
  </si>
  <si>
    <t>Table 39: Instrument-wise Turnover in Index Derivatives at BSE</t>
  </si>
  <si>
    <t>BSE 30 SENSEX</t>
  </si>
  <si>
    <t>BSE SENSEX 50</t>
  </si>
  <si>
    <t>BSE BANKEX</t>
  </si>
  <si>
    <t>Table 40: Instrument-wise Turnover in Index Derivatives at NSE</t>
  </si>
  <si>
    <t xml:space="preserve"> (per cent)</t>
  </si>
  <si>
    <t>NIFTY</t>
  </si>
  <si>
    <t>NIFTYIT</t>
  </si>
  <si>
    <t>BANKNIFTY</t>
  </si>
  <si>
    <t>Table 41: Trends in Currency Derivatives Segment at BSE</t>
  </si>
  <si>
    <t>Currency Futures</t>
  </si>
  <si>
    <t>Currency  Options</t>
  </si>
  <si>
    <t>Open Interest at the end of  the Month**</t>
  </si>
  <si>
    <t>No. of Contracts</t>
  </si>
  <si>
    <t xml:space="preserve">No. of Contracts </t>
  </si>
  <si>
    <t>Turnover * (₹ crore)</t>
  </si>
  <si>
    <t>Value 
(₹ crore)</t>
  </si>
  <si>
    <t>1. * Notional Turnover</t>
  </si>
  <si>
    <t>2. ** OI data is at BSE level.</t>
  </si>
  <si>
    <t>Source: BSE</t>
  </si>
  <si>
    <t>Table 42: Trends in Currency Derivatives Segment at NSE</t>
  </si>
  <si>
    <t>No. of Trading  Days</t>
  </si>
  <si>
    <t>Currency Options</t>
  </si>
  <si>
    <t>Open Interest at the
end of Month*</t>
  </si>
  <si>
    <t>Turnover* (₹ crore)</t>
  </si>
  <si>
    <t>Value
(₹ crore)</t>
  </si>
  <si>
    <t>1. Trading Value :- For Futures, Value of contract = Traded Qty*Traded Price. 2. For Options, Value of contract = Traded Qty*(Strike Price+Traded Premium)</t>
  </si>
  <si>
    <t>2. *Open Interest provided in Table No. 42 is at NSE Clearing Limited level, while in Table 46 it is at NSE Level. Hence, the difference in number/value between the two tables.</t>
  </si>
  <si>
    <t>Table 43: Trends in Currency Derivatives Segment at MSEI</t>
  </si>
  <si>
    <t>Open Interest at the
end of Month</t>
  </si>
  <si>
    <t>Table 44: Settlement Statistics of Currency Derivatives Segment</t>
  </si>
  <si>
    <t>Currency
Futures</t>
  </si>
  <si>
    <t>Source: ICCL, NCL and MCCIL.</t>
  </si>
  <si>
    <t>Table 45: Instrument-wise Turnover in Currency Derivatives Segment of BSE</t>
  </si>
  <si>
    <t>Open Interest as on last day of the month (in lots)**</t>
  </si>
  <si>
    <t>USDINR</t>
  </si>
  <si>
    <t>EURINR</t>
  </si>
  <si>
    <t>GBPINR</t>
  </si>
  <si>
    <t>JPYINR</t>
  </si>
  <si>
    <t>EURUSD</t>
  </si>
  <si>
    <t>GBPUSD</t>
  </si>
  <si>
    <t>USDJPY</t>
  </si>
  <si>
    <t>2019-2020</t>
  </si>
  <si>
    <t>1.  * Notional Turnover</t>
  </si>
  <si>
    <t>Table 46: Instrument-wise Turnover in Currency Derivatives Segment of NSE</t>
  </si>
  <si>
    <t>Open Interest as on last day of the month (in lots)*</t>
  </si>
  <si>
    <t>Table 47:  Instrument-wise Turnover in Currency Derivatives Segment of MSEI</t>
  </si>
  <si>
    <t>Open Interest as on last day of the month
(in lots)</t>
  </si>
  <si>
    <t>Table 48: Maturitywise Turnover in Currency Derivative Segment of BSE</t>
  </si>
  <si>
    <t>(₹  crore)</t>
  </si>
  <si>
    <t>Currency Future</t>
  </si>
  <si>
    <t>Weekly</t>
  </si>
  <si>
    <t>1 Month</t>
  </si>
  <si>
    <t>2 Month</t>
  </si>
  <si>
    <t>3 Month</t>
  </si>
  <si>
    <t>&gt; 3 months</t>
  </si>
  <si>
    <t>2020-21</t>
  </si>
  <si>
    <t>1.  Weekly maturity data is added to the table, hence the data may not be strictly comparable with the earlier published data.</t>
  </si>
  <si>
    <t xml:space="preserve">Table 49: Maturity-wise Turnover in Currency Derivatives Segment of NSE  </t>
  </si>
  <si>
    <t>Month/Year</t>
  </si>
  <si>
    <t>1.  Weekly maturity data is added to the table, hence the data may not be strictly comparable with the data published prior to November 2020.</t>
  </si>
  <si>
    <t xml:space="preserve">Table 50: Maturity-wise Turnover in Currency Derivatives Segment of MSEI </t>
  </si>
  <si>
    <t>(₹  Crore)</t>
  </si>
  <si>
    <t>Table 51: Trading Statistics in Interest Rate Derivatives Segment</t>
  </si>
  <si>
    <t>BSE*</t>
  </si>
  <si>
    <t>Interest Rate Futures</t>
  </si>
  <si>
    <t>Open Interest at
the end of</t>
  </si>
  <si>
    <t>Open Interest at
the end of**</t>
  </si>
  <si>
    <t>Interest RateFutures</t>
  </si>
  <si>
    <t xml:space="preserve">Open Interest at the end of </t>
  </si>
  <si>
    <t>Traded Value 
(₹ crore)</t>
  </si>
  <si>
    <t>1. IR Options were launched at NSE during Dec 2019, the data has been revised accordingly</t>
  </si>
  <si>
    <t>2. Open interest is valued at daily settlement prices</t>
  </si>
  <si>
    <t>3. The Open interest pertains to NSE Clearing and Includes the data of multiple exchnages)</t>
  </si>
  <si>
    <t>4. IR Options were launched at BSE during Aug 2019.  However, there is no trading activity since launch.</t>
  </si>
  <si>
    <t>Source: BSE, NSE and MSEI</t>
  </si>
  <si>
    <t xml:space="preserve">Table 52: Settlement Statistics in Interest Rate Derivatives Segment </t>
  </si>
  <si>
    <t>Final Settlement</t>
  </si>
  <si>
    <t>MTM Settlement</t>
  </si>
  <si>
    <t>Premium Settlement</t>
  </si>
  <si>
    <t>Exercise Settlement</t>
  </si>
  <si>
    <t>1.  NSE - IRF includes 6 Year, 10 Year, 13 Year GSecs and 91 DTB</t>
  </si>
  <si>
    <t>2. IR Options were launched at NSE during Dec 2019, the data has been revised accordingly</t>
  </si>
  <si>
    <t>3. IR Options were launched at BSE during Aug 2019.  However, there is no trading activity since launch.</t>
  </si>
  <si>
    <t>Source: ICCL, NCL and MCCIL</t>
  </si>
  <si>
    <t>Table 53: Trends in Foreign Portfolio Investment</t>
  </si>
  <si>
    <t>Gross Purchase 
(₹  crore)</t>
  </si>
  <si>
    <t>Gross Sales 
(₹  crore)</t>
  </si>
  <si>
    <t>Net Investment 
(₹  crore)</t>
  </si>
  <si>
    <t>Net Investment 
(USD million)</t>
  </si>
  <si>
    <t>Cumulative Net Investment 
(USD million)</t>
  </si>
  <si>
    <t>Source: NSDL, CDSL</t>
  </si>
  <si>
    <t>Table 54: Notional Value of Offshore Derivative Instruments (ODIs) compared to Assets Under Custody (AUC) of FPIs/Deemed FPIs</t>
  </si>
  <si>
    <t>Notional value of ODIs on Equity, Debt &amp; Derivatives  (₹ crore)</t>
  </si>
  <si>
    <t>Notional value of ODIs on Equity &amp; Debt  excluding Derivatives  (₹ crore)</t>
  </si>
  <si>
    <t>Assets Under Custody of FPIs/Deemed FPIs  (₹ crore) #</t>
  </si>
  <si>
    <t>Notional value of ODIs on Equity, Debt &amp; Derivatives as % of  Assets Under Custody of FPIs/Deemed FPIs</t>
  </si>
  <si>
    <t>Notional value of ODIs on Equity &amp; Debt  excluding Derivatives as % of  Assets Under Custody of FPIs/Deemed FPIs</t>
  </si>
  <si>
    <t>2012-21$</t>
  </si>
  <si>
    <t>1. Column B &amp; C  Figures are compiled based on reports submitted by FPIs/deemed FPIs issuing ODIs.</t>
  </si>
  <si>
    <t>2. Column C is being provided which depicts the Total Value of ODI issued -with underlying as  Equity ,Debt &amp; Hybrid Securities but excluding derivatives</t>
  </si>
  <si>
    <r>
      <t>3.</t>
    </r>
    <r>
      <rPr>
        <sz val="10"/>
        <rFont val="Palatino Linotype"/>
        <family val="1"/>
      </rPr>
      <t xml:space="preserve"> Column D </t>
    </r>
    <r>
      <rPr>
        <sz val="10"/>
        <color indexed="8"/>
        <rFont val="Palatino Linotype"/>
        <family val="1"/>
      </rPr>
      <t xml:space="preserve"> Figures are compiled on the basis of reports submitted by custodians &amp; does not includes positions taken by FPIs/deemed FPIs in derivatives.</t>
    </r>
  </si>
  <si>
    <t>4. The total value of ODIs excludes the unhedged positions &amp; portfolio hedging positions taken by the FPIs/deemed FPIs issuing ODIs.</t>
  </si>
  <si>
    <t>Table 55: Assets under the Custody of Custodians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</si>
  <si>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</si>
  <si>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</si>
  <si>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</si>
  <si>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</si>
  <si>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</si>
  <si>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</si>
  <si>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</si>
  <si>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</si>
  <si>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</si>
  <si>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</si>
  <si>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</si>
  <si>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</si>
  <si>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</si>
  <si>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Amount 
(₹   crore)</t>
  </si>
  <si>
    <t>1. With the commencement of FPI Regime from June 1, 2014, the erstwhile FIIs, Sub Accounts and QFIs are merged into a new investor class termed as .Foreign Portfolio Investors (FPIs).</t>
  </si>
  <si>
    <t>2. "Others" include Portfolio manager, partnership firm, trusts, depository receipts, AIFs, FCCB, HUFs, Brokers etc.</t>
  </si>
  <si>
    <t>Source: Custodians.</t>
  </si>
  <si>
    <t xml:space="preserve">Table 56: Trends in Resource Mobilization by Mutual Funds </t>
  </si>
  <si>
    <t xml:space="preserve"> (₹   crore)</t>
  </si>
  <si>
    <t>Gross Mobilisation</t>
  </si>
  <si>
    <t>Redemption</t>
  </si>
  <si>
    <t>Net Inflow/ Outflow</t>
  </si>
  <si>
    <t>Assets at the
End of
Period</t>
  </si>
  <si>
    <t>Pvt. Sector</t>
  </si>
  <si>
    <t>Public Sector</t>
  </si>
  <si>
    <t xml:space="preserve">Table 57:  Status of Mutual Funds Industry in India </t>
  </si>
  <si>
    <t>Sr. No.</t>
  </si>
  <si>
    <t>Scheme Category</t>
  </si>
  <si>
    <t xml:space="preserve">No. of schemes </t>
  </si>
  <si>
    <t xml:space="preserve">No. of Folios </t>
  </si>
  <si>
    <t>Funds mobilized  (₹ crore)</t>
  </si>
  <si>
    <t>Repurchase/ Redemptio  (₹ crore)</t>
  </si>
  <si>
    <t>Net Inflow (+ve)/ Outflow (-ve)   (₹ crore)</t>
  </si>
  <si>
    <t>Net Assets Under Management as on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</si>
  <si>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</si>
  <si>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</si>
  <si>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</si>
  <si>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</si>
  <si>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</si>
  <si>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</si>
  <si>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</si>
  <si>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</si>
  <si>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</si>
  <si>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</si>
  <si>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</si>
  <si>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</si>
  <si>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</si>
  <si>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</si>
  <si>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</si>
  <si>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</si>
  <si>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</si>
  <si>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</si>
  <si>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</si>
  <si>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</si>
  <si>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</si>
  <si>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</si>
  <si>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</si>
  <si>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</si>
  <si>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</si>
  <si>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</si>
  <si>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</si>
  <si>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</si>
  <si>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</si>
  <si>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</si>
  <si>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</si>
  <si>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</si>
  <si>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</si>
  <si>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</si>
  <si>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</si>
  <si>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</si>
  <si>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</si>
  <si>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</si>
  <si>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</si>
  <si>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</si>
  <si>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</si>
  <si>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</si>
  <si>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</si>
  <si>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</si>
  <si>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</si>
  <si>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</si>
  <si>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</si>
  <si>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</si>
  <si>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</si>
  <si>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</si>
  <si>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</si>
  <si>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</si>
  <si>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</si>
  <si>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</si>
  <si>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</si>
  <si>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</si>
  <si>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</si>
  <si>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</si>
  <si>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</si>
  <si>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</si>
  <si>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</si>
  <si>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</si>
  <si>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</si>
  <si>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</si>
  <si>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</si>
  <si>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</si>
  <si>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</si>
  <si>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</si>
  <si>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</si>
  <si>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</si>
  <si>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</si>
  <si>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</si>
  <si>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</si>
  <si>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</si>
  <si>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</si>
  <si>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</si>
  <si>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58: Trends in Transactions on Stock Exchanges by Mutual Funds</t>
  </si>
  <si>
    <t>Year/  Month</t>
  </si>
  <si>
    <t>Debt</t>
  </si>
  <si>
    <t>Gross Purchases</t>
  </si>
  <si>
    <t>Gross Sales</t>
  </si>
  <si>
    <t>Net Purchases /Sales</t>
  </si>
  <si>
    <t>Net purchases /Sale</t>
  </si>
  <si>
    <t>Table 59: Assets Managed by Portfolio Managers</t>
  </si>
  <si>
    <t>Particulars</t>
  </si>
  <si>
    <t>Discretionary</t>
  </si>
  <si>
    <t>Non-Discretionary</t>
  </si>
  <si>
    <t>Advisory</t>
  </si>
  <si>
    <t>Discretionary#</t>
  </si>
  <si>
    <t>Advisory**</t>
  </si>
  <si>
    <t>No. of Clients</t>
  </si>
  <si>
    <t>AUM (₹ crore)</t>
  </si>
  <si>
    <t>Listed Equity</t>
  </si>
  <si>
    <t>Unlisted Equity</t>
  </si>
  <si>
    <t>Plain Debt</t>
  </si>
  <si>
    <t>Structured Debt</t>
  </si>
  <si>
    <t>Equity Derivatives</t>
  </si>
  <si>
    <t>Total*</t>
  </si>
  <si>
    <t xml:space="preserve">1. **Value of Assets for which Advisory Services are being given. </t>
  </si>
  <si>
    <t>3.  The above data is based on the monthly report received from Portfolio Managers.</t>
  </si>
  <si>
    <t>Table 60: Progress Report of NSDL &amp; CDSL for Listed Companies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</si>
  <si>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</si>
  <si>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</si>
  <si>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</si>
  <si>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</si>
  <si>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</si>
  <si>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</si>
  <si>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</si>
  <si>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</si>
  <si>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</si>
  <si>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</si>
  <si>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</si>
  <si>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</si>
  <si>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</si>
  <si>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</si>
  <si>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</si>
  <si>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</si>
  <si>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</si>
  <si>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t>
  </si>
  <si>
    <t>Value of shares settled during the month in dematerialized form</t>
  </si>
  <si>
    <t>Average Value of shares settled daily (value of shares settled during the month)</t>
  </si>
  <si>
    <t>Training Programmes conducted for representatives of Corporates, DPs and Brokers</t>
  </si>
  <si>
    <t>The ratio of dematerialized equity shares to the total outstanding shares (market value)</t>
  </si>
  <si>
    <t>Per cent</t>
  </si>
  <si>
    <t xml:space="preserve">1. Shares includes only equity shares. </t>
  </si>
  <si>
    <t xml:space="preserve">3. Quantity and value of shares mentioned are single sided. </t>
  </si>
  <si>
    <t>4. #Source for listed securities information: Issuer/ NSE/BSE.</t>
  </si>
  <si>
    <t>Source: NSDL and CDSL.</t>
  </si>
  <si>
    <t>Table 61: Progress of Dematerialisation at NSDL and CDSL (Listed and Unlisted Companies)</t>
  </si>
  <si>
    <t>Companies Live</t>
  </si>
  <si>
    <t>DPs Live</t>
  </si>
  <si>
    <t>DPs
Locations</t>
  </si>
  <si>
    <t>Demat 
Quantity 
(million securities)</t>
  </si>
  <si>
    <t>Demat Value (₹ crore)</t>
  </si>
  <si>
    <t>Demat Value  (₹ crore)</t>
  </si>
  <si>
    <t xml:space="preserve">Notes : </t>
  </si>
  <si>
    <t xml:space="preserve">1. For CDSL, the current and historical data of Companies Live has been revised to exclude MF schemes count. </t>
  </si>
  <si>
    <t xml:space="preserve">2. The Companies Live figure  includes only the number of mutual fund companies and not the mutual fund schemes. </t>
  </si>
  <si>
    <t>3. DPs Locations represents the total live (main DPs and branch DPs as well as non-live (back office connected collection centres).</t>
  </si>
  <si>
    <t>Table 62: Depository Statistics</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</si>
  <si>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</si>
  <si>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</si>
  <si>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</si>
  <si>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</si>
  <si>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</si>
  <si>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</si>
  <si>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</si>
  <si>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</si>
  <si>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</si>
  <si>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</si>
  <si>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</si>
  <si>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No. of Issuers (Debt) / Companies (Equity)</t>
  </si>
  <si>
    <t>No. of Active Instruments</t>
  </si>
  <si>
    <t>(lakh)</t>
  </si>
  <si>
    <t>Quantity settled during the month</t>
  </si>
  <si>
    <t>Value Settled during the month</t>
  </si>
  <si>
    <t>1. The categories included in Others are Preference Shares, Mutual Fund Units, Warrants, PTCs, Treasury Bills, CPs, CDs and Government Securities.</t>
  </si>
  <si>
    <r>
      <t xml:space="preserve">2. </t>
    </r>
    <r>
      <rPr>
        <i/>
        <sz val="10"/>
        <rFont val="Palatino Linotype"/>
        <family val="1"/>
      </rPr>
      <t>* Does not include settlement details for Warehouse reciepts/Commodities.</t>
    </r>
  </si>
  <si>
    <t>Table 63: Number of commodities permitted and traded at exchanges</t>
  </si>
  <si>
    <t>Exchanges</t>
  </si>
  <si>
    <t>Futures</t>
  </si>
  <si>
    <t>Options</t>
  </si>
  <si>
    <t>Agriculture</t>
  </si>
  <si>
    <t>Metals other than bullion</t>
  </si>
  <si>
    <t xml:space="preserve">Bullion </t>
  </si>
  <si>
    <t xml:space="preserve">Energy </t>
  </si>
  <si>
    <t>Gems and Stones</t>
  </si>
  <si>
    <t>Indices</t>
  </si>
  <si>
    <t>NCDEX</t>
  </si>
  <si>
    <t>Permitted for trading</t>
  </si>
  <si>
    <t xml:space="preserve">Contracts floated </t>
  </si>
  <si>
    <t>Traded</t>
  </si>
  <si>
    <t>MCX</t>
  </si>
  <si>
    <t>ICEX</t>
  </si>
  <si>
    <t xml:space="preserve"> </t>
  </si>
  <si>
    <t>2 </t>
  </si>
  <si>
    <t>Source: NCDEX, MCX, ICEX, BSE and NSE</t>
  </si>
  <si>
    <t>Table 64: Trends in commodity indices</t>
  </si>
  <si>
    <t xml:space="preserve">MCX iCOMDEX </t>
  </si>
  <si>
    <t xml:space="preserve">NCDEX Nkrishi </t>
  </si>
  <si>
    <t>Open</t>
  </si>
  <si>
    <t xml:space="preserve">2020-21$ </t>
  </si>
  <si>
    <t>Source: MCX and NCDEX</t>
  </si>
  <si>
    <t xml:space="preserve">Table 65: Trends in commodity derivatives at MCX </t>
  </si>
  <si>
    <t>No.of Trading days</t>
  </si>
  <si>
    <t>Metals</t>
  </si>
  <si>
    <t>Bullion</t>
  </si>
  <si>
    <t>Energy</t>
  </si>
  <si>
    <t xml:space="preserve">BULLDEX Index </t>
  </si>
  <si>
    <t>METALDEX Index</t>
  </si>
  <si>
    <t>Open interest at the end of the period</t>
  </si>
  <si>
    <t>Volume ('000 tonnes)</t>
  </si>
  <si>
    <t>No. of contracts traded</t>
  </si>
  <si>
    <t>Volume ('000 tonnes)*</t>
  </si>
  <si>
    <t>Volume ('000 lots)**</t>
  </si>
  <si>
    <t>Year / 
Month</t>
  </si>
  <si>
    <t xml:space="preserve">Call Options </t>
  </si>
  <si>
    <t xml:space="preserve">Put Options </t>
  </si>
  <si>
    <t>Note : 1. Natural Gas volume is in Trillion BTU and is not included in volume ("000 tonnes") of energy contracts.</t>
  </si>
  <si>
    <t xml:space="preserve">           2. Options includes both options on futures and goods.</t>
  </si>
  <si>
    <t>Source: MCX</t>
  </si>
  <si>
    <t xml:space="preserve">Table 66: Trends in commodity derivatives at NCDEX </t>
  </si>
  <si>
    <t xml:space="preserve">Agriculture </t>
  </si>
  <si>
    <t xml:space="preserve">Agridex Index </t>
  </si>
  <si>
    <t xml:space="preserve">Total </t>
  </si>
  <si>
    <t xml:space="preserve">Call options </t>
  </si>
  <si>
    <t xml:space="preserve">Put options </t>
  </si>
  <si>
    <t>Open interest 
  at the end of the period</t>
  </si>
  <si>
    <t>Volume
('000 tonnes)</t>
  </si>
  <si>
    <t>Volume
('000 lots)</t>
  </si>
  <si>
    <t>Source: NCDEX</t>
  </si>
  <si>
    <t>Table 67: Trends in commodity derivatives at ICEX</t>
  </si>
  <si>
    <t>Volume 
('000 tonnes)</t>
  </si>
  <si>
    <t>Volume 
(in cents)</t>
  </si>
  <si>
    <t xml:space="preserve">Note : Contract size for all diamond futures contract at ICEX is one cent. </t>
  </si>
  <si>
    <t>Source: ICEX</t>
  </si>
  <si>
    <t xml:space="preserve">Table 68: Trends in commodity derivatives at BSE </t>
  </si>
  <si>
    <t xml:space="preserve">Metal </t>
  </si>
  <si>
    <t>Volume ( '000 tonnes)</t>
  </si>
  <si>
    <t>Note: 1. Conversion factors: Brent Crude Oil (1 Tonne = 7.33 Barrels)</t>
  </si>
  <si>
    <t xml:space="preserve"> 2. Option contracts were launched at BSE from June 2020.</t>
  </si>
  <si>
    <t>Table 69: Trends in commodity derivatives at NSE</t>
  </si>
  <si>
    <t>Volume ('000  tonnes)</t>
  </si>
  <si>
    <t>Table 70: Participant-wise percentage share of turnover at MCX, NCDEX, ICEX, BSE and NSE</t>
  </si>
  <si>
    <t>Agri Segment</t>
  </si>
  <si>
    <t>Non-Agri Segment</t>
  </si>
  <si>
    <t>Agridex Index</t>
  </si>
  <si>
    <t xml:space="preserve">Client </t>
  </si>
  <si>
    <t>Hedgers</t>
  </si>
  <si>
    <t>Source: MCX, NCDEX, ICEX, BSE and NSE</t>
  </si>
  <si>
    <t>Table 71: Commodity-wise turnover and trading volume at MCX</t>
  </si>
  <si>
    <t>Sr.No</t>
  </si>
  <si>
    <t>Name of the Commodity</t>
  </si>
  <si>
    <t>Gold</t>
  </si>
  <si>
    <t>Silver</t>
  </si>
  <si>
    <t>Total for A</t>
  </si>
  <si>
    <t>Metals other than Bullion</t>
  </si>
  <si>
    <t>Aluminium</t>
  </si>
  <si>
    <t>Copper</t>
  </si>
  <si>
    <t>Lead</t>
  </si>
  <si>
    <t>Nickel</t>
  </si>
  <si>
    <t>Zinc</t>
  </si>
  <si>
    <t>Total for  B</t>
  </si>
  <si>
    <t>Agricultural commodities</t>
  </si>
  <si>
    <t>Cardamom</t>
  </si>
  <si>
    <t>Cotton</t>
  </si>
  <si>
    <t>CPO</t>
  </si>
  <si>
    <t>Mentha Oil</t>
  </si>
  <si>
    <t>Kapas</t>
  </si>
  <si>
    <t>Total for C</t>
  </si>
  <si>
    <t>D</t>
  </si>
  <si>
    <t>Crude Oil</t>
  </si>
  <si>
    <t>Natural Gas (trln. Btu)</t>
  </si>
  <si>
    <t>Total for D</t>
  </si>
  <si>
    <t>E</t>
  </si>
  <si>
    <t>iCOMDEX Bullion</t>
  </si>
  <si>
    <t>iCOMDEX Metal</t>
  </si>
  <si>
    <t>Total for E</t>
  </si>
  <si>
    <t>Grand Total (A+B+C+D+E)</t>
  </si>
  <si>
    <t>F</t>
  </si>
  <si>
    <t xml:space="preserve">Gold </t>
  </si>
  <si>
    <t>G</t>
  </si>
  <si>
    <t xml:space="preserve">Metals </t>
  </si>
  <si>
    <t>H</t>
  </si>
  <si>
    <t>Grand Total (F+G+H)</t>
  </si>
  <si>
    <t>Note : 1. Natural Gas volume is in trillion BTU and is not included for computing the  total volume in "000 tonnes".</t>
  </si>
  <si>
    <t xml:space="preserve">           2. iCOMDEX Bullion volumes are in '000 lots and is not included for computing the total volume in "000 tonnes".</t>
  </si>
  <si>
    <t xml:space="preserve">           3. Options includes both options on futures and goods</t>
  </si>
  <si>
    <t xml:space="preserve">           4.Conversion factors: Cotton (1 Bale=170 kg), Crude Oil (1 Tonne = 7.33Barrels)</t>
  </si>
  <si>
    <t xml:space="preserve">           4. Trading in iCOMDEX Bullion Futures and iCOMDEX Metal Futures launched on 24th Aug, 2020 and 19th Oct. 2020 respectively.</t>
  </si>
  <si>
    <t>Source : MCX</t>
  </si>
  <si>
    <t xml:space="preserve">Table 72: Commodity-wise turnover and trading volume at NCDEX </t>
  </si>
  <si>
    <t xml:space="preserve">Name of Agri. Commodity </t>
  </si>
  <si>
    <t>Value 
( crore)</t>
  </si>
  <si>
    <t xml:space="preserve">AGRIDEX   Index </t>
  </si>
  <si>
    <t>Barley</t>
  </si>
  <si>
    <t>Bajra</t>
  </si>
  <si>
    <t>Castorseed</t>
  </si>
  <si>
    <t>Chana</t>
  </si>
  <si>
    <t>Cotton seed oil cake</t>
  </si>
  <si>
    <t>Coriander</t>
  </si>
  <si>
    <t>Guar seed</t>
  </si>
  <si>
    <t>Guargum</t>
  </si>
  <si>
    <t>Gur</t>
  </si>
  <si>
    <t>Jeera</t>
  </si>
  <si>
    <t>Maize</t>
  </si>
  <si>
    <t>Moong</t>
  </si>
  <si>
    <t>Paddy Basmati Rice</t>
  </si>
  <si>
    <t>RM seed</t>
  </si>
  <si>
    <t>Soy bean</t>
  </si>
  <si>
    <t>Refined Soy Oil</t>
  </si>
  <si>
    <t>Turmeric</t>
  </si>
  <si>
    <t>Wheat</t>
  </si>
  <si>
    <t>Sesameseed</t>
  </si>
  <si>
    <t>Guarseed</t>
  </si>
  <si>
    <t>Soybean</t>
  </si>
  <si>
    <t>RM Seed</t>
  </si>
  <si>
    <t>Total for B</t>
  </si>
  <si>
    <t>ICEX Futures</t>
  </si>
  <si>
    <t>Gems &amp; Stones</t>
  </si>
  <si>
    <t>Diamond 1 CT</t>
  </si>
  <si>
    <t>Diamond .5 CT</t>
  </si>
  <si>
    <t>Diamond .3 CT</t>
  </si>
  <si>
    <t>Total for IA</t>
  </si>
  <si>
    <t>Metal other than gems &amp; stones</t>
  </si>
  <si>
    <t>Steel Long</t>
  </si>
  <si>
    <t>Total for IB</t>
  </si>
  <si>
    <t>Agricultural Commodities</t>
  </si>
  <si>
    <t xml:space="preserve">Isabgulseed </t>
  </si>
  <si>
    <t>Pepper Mini</t>
  </si>
  <si>
    <t xml:space="preserve">Rubber </t>
  </si>
  <si>
    <t>Paddy Basmati</t>
  </si>
  <si>
    <t>Total for IC</t>
  </si>
  <si>
    <t>Total - ICEX Futures (1A+1B+1C)</t>
  </si>
  <si>
    <t>NSE Futures</t>
  </si>
  <si>
    <t>Gold Mini</t>
  </si>
  <si>
    <t>Total for 2A</t>
  </si>
  <si>
    <t>BR Crude</t>
  </si>
  <si>
    <t>BR Crude Mini</t>
  </si>
  <si>
    <t>Total for 2B</t>
  </si>
  <si>
    <t>Crude Degummed Soybean Oil </t>
  </si>
  <si>
    <t>Total for 2C</t>
  </si>
  <si>
    <t>NSE Options</t>
  </si>
  <si>
    <t xml:space="preserve">BSE Futures </t>
  </si>
  <si>
    <t>Silver KG</t>
  </si>
  <si>
    <t>Silver M</t>
  </si>
  <si>
    <t>Gold M</t>
  </si>
  <si>
    <t>Total for 3A</t>
  </si>
  <si>
    <t>Total for 3B</t>
  </si>
  <si>
    <t>Guar Gum</t>
  </si>
  <si>
    <t>Guar Seed</t>
  </si>
  <si>
    <t>Cotton BSE</t>
  </si>
  <si>
    <t>Cotton29</t>
  </si>
  <si>
    <t>BSE Almond</t>
  </si>
  <si>
    <t>Total for 3C</t>
  </si>
  <si>
    <t>Total for 3D</t>
  </si>
  <si>
    <t>Total- BSE Futures (3A+3B+3C+3D)</t>
  </si>
  <si>
    <t>BSE Options</t>
  </si>
  <si>
    <t>Total - BSE Options (3E)</t>
  </si>
  <si>
    <t>1 Volume for Diamond 1 CT, 0.5CT &amp; 0.3CT are in cents and hence not included in volume ("000" tonnes)</t>
  </si>
  <si>
    <t>2 Conversion factors: Brent Crude Oil (1 Tonne = 7.33 Barrels)</t>
  </si>
  <si>
    <t>Source : ICEX, BSE and NSE</t>
  </si>
  <si>
    <t>Table 74:  Macro Economic Indicators</t>
  </si>
  <si>
    <t xml:space="preserve">I. GDP at Current prices for 2020-21 (₹ crore)#                         </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</si>
  <si>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</si>
  <si>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</si>
  <si>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</si>
  <si>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</si>
  <si>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</si>
  <si>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</si>
  <si>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</si>
  <si>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</si>
  <si>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</si>
  <si>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</si>
  <si>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</si>
  <si>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 xml:space="preserve">Term Deposit Rate &gt; 1 year (Maximum) </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</si>
  <si>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</si>
  <si>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</si>
  <si>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</si>
  <si>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</si>
  <si>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</si>
  <si>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</si>
  <si>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</si>
  <si>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</si>
  <si>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</si>
  <si>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</si>
  <si>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</si>
  <si>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</si>
  <si>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Govt. Market Borrowing-Gross (₹ billion)</t>
  </si>
  <si>
    <t>Wholesale Price Index (2011-12=100) Rate (in per cent)</t>
  </si>
  <si>
    <t>Consumer Price Index (2012 =100) Rate (in per cent)</t>
  </si>
  <si>
    <t>IX.  Index of Industrial Production (Base year 2011-12 = 100)</t>
  </si>
  <si>
    <t>General</t>
  </si>
  <si>
    <t>Mining</t>
  </si>
  <si>
    <t>Manufacturing</t>
  </si>
  <si>
    <t>Electricity</t>
  </si>
  <si>
    <t>X. External Sector Indicators (USD million)</t>
  </si>
  <si>
    <t xml:space="preserve">Exports </t>
  </si>
  <si>
    <t>Imports</t>
  </si>
  <si>
    <t>Trade Balance</t>
  </si>
  <si>
    <t>Source :  RBI, FBIL,  MOSPI,  Ministry of Commerce &amp; Industry, Office of the Economic Adviser.</t>
  </si>
  <si>
    <t xml:space="preserve">            International Exchange (IFSC)#% </t>
  </si>
  <si>
    <t>2. Includes data across all underlying and data of Cross Currency contracts and Weekly contracts</t>
  </si>
  <si>
    <t>3. Cross Currency and weekly Options was introduced wef December 05, 2018</t>
  </si>
  <si>
    <t>4. Weekly Futures was introduced wef February 24, 2020</t>
  </si>
  <si>
    <t>Interest Rate Options</t>
  </si>
  <si>
    <t>2. Of the 2019-20 AUM, Rs. 13,93,447.414/- Crores are contributed by funds from EPFO/PFs.</t>
  </si>
  <si>
    <t>2. Of the 2020-21 (Apr-Oct) AUM, Rs. 14,61,772.645/- Crores are contributed by funds from EPFO/PFs.</t>
  </si>
  <si>
    <t>$ indicates as on October 30, 2020 (data upto Oct-20 is available)</t>
  </si>
  <si>
    <t xml:space="preserve">Number of Clearing Corporations (connected) </t>
  </si>
  <si>
    <t>2. Securities includes all securities types including equity shares, preference shares, debenture, MF units, etc., available in the depository system</t>
  </si>
  <si>
    <t>5. No. of days taken for calculating Daily Average is 22 settlement days for December-20, 19 days for the month November-20 and 21 days for the month December-19.</t>
  </si>
  <si>
    <t xml:space="preserve">6. NSDL - Number of Depository Participants includes Nineteen Participants which are under closure/termination process and/or SEBI  registration is not yet cancelled
</t>
  </si>
  <si>
    <t>Jan-21</t>
  </si>
  <si>
    <r>
      <t>Turnover 
(</t>
    </r>
    <r>
      <rPr>
        <sz val="10"/>
        <color theme="1"/>
        <rFont val="Rupee Foradian"/>
        <family val="2"/>
      </rPr>
      <t>₹</t>
    </r>
    <r>
      <rPr>
        <b/>
        <sz val="10"/>
        <color theme="1"/>
        <rFont val="Rupee Foradian"/>
        <family val="2"/>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</si>
  <si>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</si>
  <si>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</si>
  <si>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</si>
  <si>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Metal</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</si>
  <si>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</si>
  <si>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</si>
  <si>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Note: 1.Agridex volume data are in "000 lots".</t>
  </si>
  <si>
    <t>2. Futures trading in Metal segment of non- agri. contracts (Steel Long contracts) commenced on 18th January, 2021.</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</si>
  <si>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</si>
  <si>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</si>
  <si>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</si>
  <si>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</si>
  <si>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</si>
  <si>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Note: 1.Option contracts were launched at NSE from June 2020.</t>
  </si>
  <si>
    <t xml:space="preserve">          2. Futures trading in Agri. segment of NSE commenced from 1st Dec. 2020</t>
  </si>
  <si>
    <t>Note: 1.Futres trading in Agri. segment of NSE commenced from 1st Dec. 2020.</t>
  </si>
  <si>
    <t>2. Futures trading in Non-Agri. segment of NCDEX commenced on 18th January, 2021.</t>
  </si>
  <si>
    <t>Total for A and B</t>
  </si>
  <si>
    <t>Note: 1.AGRIDEX volume are in '000 lots and is not included for computing the total volume in "000 tonnes" .</t>
  </si>
  <si>
    <t>2. Futures trading in Gur and Steel Long contracts commenced on 15th December, 2020 and 18th January, 2021 respectively.</t>
  </si>
  <si>
    <t xml:space="preserve">     Note:</t>
  </si>
  <si>
    <t>3. Futures trading in Agri. segment of NSE commenced from 1st Dec. 2020.</t>
  </si>
  <si>
    <t>II. Gross Saving as a per cent of Gross National Disposable Income at current market prices in 2019-20*</t>
  </si>
  <si>
    <t>III. Gross Capital Formation as a per cent of GDP at current market prices in 2019-20*</t>
  </si>
  <si>
    <t>7.30/8.80</t>
  </si>
  <si>
    <t>8530^</t>
  </si>
  <si>
    <t>9270^</t>
  </si>
  <si>
    <t>10270^</t>
  </si>
  <si>
    <t>11673^</t>
  </si>
  <si>
    <t>* First Revised Estimates as per MOSPI press release dated Jan. 29, 2021</t>
  </si>
  <si>
    <t xml:space="preserve">^ cumulative figure value of the respective month for 2020-21 </t>
  </si>
  <si>
    <t>Data for CPI, WPI, IIP and External sector have been compiled based on available information.</t>
  </si>
  <si>
    <t>Ernakulum</t>
  </si>
  <si>
    <t>HDFCBANK</t>
  </si>
  <si>
    <t>RELIANCE</t>
  </si>
  <si>
    <t>INFY</t>
  </si>
  <si>
    <t>HDFC</t>
  </si>
  <si>
    <t>ICICIBANK</t>
  </si>
  <si>
    <t>TCS</t>
  </si>
  <si>
    <t>KOTAKBANK</t>
  </si>
  <si>
    <t>HINDUNILVR</t>
  </si>
  <si>
    <t>AXISBANK</t>
  </si>
  <si>
    <t>ITC</t>
  </si>
  <si>
    <t>LT</t>
  </si>
  <si>
    <t>BHARTIARTL</t>
  </si>
  <si>
    <t>BAJFINANCE</t>
  </si>
  <si>
    <t>ASIANPAINT</t>
  </si>
  <si>
    <t>SBIN</t>
  </si>
  <si>
    <t>HCLTECH</t>
  </si>
  <si>
    <t>MARUTI</t>
  </si>
  <si>
    <t>M&amp;M</t>
  </si>
  <si>
    <t>SUNPHARMA</t>
  </si>
  <si>
    <t>TECHM</t>
  </si>
  <si>
    <t>WIPRO</t>
  </si>
  <si>
    <t>DRREDDY</t>
  </si>
  <si>
    <t>ULTRACEMCO</t>
  </si>
  <si>
    <t>TITAN</t>
  </si>
  <si>
    <t>NESTLEIND</t>
  </si>
  <si>
    <t>HDFCLIFE</t>
  </si>
  <si>
    <t>INDUSINDBK</t>
  </si>
  <si>
    <t>BAJAJ-AUTO</t>
  </si>
  <si>
    <t>POWERGRID</t>
  </si>
  <si>
    <t>HEROMOTOCO</t>
  </si>
  <si>
    <t>NTPC</t>
  </si>
  <si>
    <t>TATASTEEL</t>
  </si>
  <si>
    <t>BRITANNIA</t>
  </si>
  <si>
    <t>CIPLA</t>
  </si>
  <si>
    <t>ADANIPORTS</t>
  </si>
  <si>
    <t>GRASIM</t>
  </si>
  <si>
    <t>BPCL</t>
  </si>
  <si>
    <t>ONGC</t>
  </si>
  <si>
    <t>HINDALCO</t>
  </si>
  <si>
    <t>COALINDIA</t>
  </si>
  <si>
    <t>IPO</t>
  </si>
  <si>
    <t>Rights Issue</t>
  </si>
  <si>
    <t>Flexi Cap Fund</t>
  </si>
  <si>
    <t>$ indicates as on February 28, 2021</t>
  </si>
  <si>
    <t>Note: $ indicates as on February 28, 2021</t>
  </si>
  <si>
    <t>$ indicates as on  February 28, 2021</t>
  </si>
  <si>
    <t>$ indicates as onFebruary 28, 2021</t>
  </si>
  <si>
    <t>Table 2: Company-wise Capital Raised through Public and Rights Issues (Equity) during February 2021</t>
  </si>
  <si>
    <t>Table 3: Open Offers Closed under SAST Regulations (during February 2021)</t>
  </si>
  <si>
    <t>Table 24: Component Stocks: S&amp;P BSE Sensex during February 2021</t>
  </si>
  <si>
    <t>Table 25: Component Stocks: Nifty 50 Index during February 2021</t>
  </si>
  <si>
    <t>Table 26: Component Stocks: SX40 Index during February 2021</t>
  </si>
  <si>
    <t>Data as on February 28, 2021</t>
  </si>
  <si>
    <t>Note: Data is for the month of February, 2021.</t>
  </si>
  <si>
    <t>Feb-21</t>
  </si>
  <si>
    <t>Feb-20</t>
  </si>
  <si>
    <t>Total Futures</t>
  </si>
  <si>
    <t xml:space="preserve">No. of contracts </t>
  </si>
  <si>
    <t>Total Options</t>
  </si>
  <si>
    <t>3. Futures trading in Agridex indices commenced in May 2020.</t>
  </si>
  <si>
    <t xml:space="preserve">Gems and Stones </t>
  </si>
  <si>
    <t>No. of contracts</t>
  </si>
  <si>
    <t xml:space="preserve">          3. Futures trading in copper in base metals of non-agri segment commenced at NSE on 22nd February, 2021. </t>
  </si>
  <si>
    <t>Na: Not Applicable</t>
  </si>
  <si>
    <t>MCX Bulldex &amp; Metal Dex Index (Non-Agri. Segment)</t>
  </si>
  <si>
    <t>3. Futures trading in MCX Non-Agri Index (bulldex and Metal dex index) commenced in August 2020 and October 2020 respectively.</t>
  </si>
  <si>
    <t>4. Futures trading in Agridex index commenced at NCDEX in May 2020.</t>
  </si>
  <si>
    <t>Total  for F</t>
  </si>
  <si>
    <t>Total for G</t>
  </si>
  <si>
    <t>Total for H</t>
  </si>
  <si>
    <t>Feb.20</t>
  </si>
  <si>
    <t>Jan.21</t>
  </si>
  <si>
    <t>Feb.21</t>
  </si>
  <si>
    <t>Soyameal</t>
  </si>
  <si>
    <t>3. Futures trading in soymeal contracts was launched at NCDEX on 17th Feb. 2021.</t>
  </si>
  <si>
    <t>Table 73: Commodity-wise turnover and trading volume at ICEX, NSE and BSE</t>
  </si>
  <si>
    <t>Total for 2 D</t>
  </si>
  <si>
    <t>Total -NSE Futures (2A+2B+ 2C +2D)</t>
  </si>
  <si>
    <t>Total - NSE Options( 2E)</t>
  </si>
  <si>
    <t>Brent Crude</t>
  </si>
  <si>
    <t xml:space="preserve">4. Futures trading in copper in base metals of non-agri segment commenced at NSE on 22nd February, 2021. </t>
  </si>
  <si>
    <t>Indigo Paints Limited</t>
  </si>
  <si>
    <t>Home First Finance Company India Limited</t>
  </si>
  <si>
    <t>STOVE KRAFT LIMITED</t>
  </si>
  <si>
    <t>MRP Agro Limited</t>
  </si>
  <si>
    <t>BSE SME IPO</t>
  </si>
  <si>
    <t>Nureca Limited</t>
  </si>
  <si>
    <t>RailTel Corporation of India Limited</t>
  </si>
  <si>
    <t>L&amp;T FINANCE HOLDINGS LTD</t>
  </si>
  <si>
    <t>4</t>
  </si>
  <si>
    <t>6</t>
  </si>
  <si>
    <t>7</t>
  </si>
  <si>
    <t>Nidhi Granites Ltd.</t>
  </si>
  <si>
    <t xml:space="preserve"> Darpan Shah along with Devan Pandya</t>
  </si>
  <si>
    <t>Mehta Housing Finance Liited</t>
  </si>
  <si>
    <t>MR. PANKAJKUMAR RANCHHODDAS RUPAREL, MR. VISHAL RUPAREL, MR. RUPAREL SHYAM PANKAJBHAI and M/S. RUPAREL PANKAJKUMAR RANCHHODDAS (HUF)</t>
  </si>
  <si>
    <t>Ovobel Foods Limited</t>
  </si>
  <si>
    <t>M.P Satish Babu and others</t>
  </si>
  <si>
    <t>FAIRCHEM ORGANICS LIMITED</t>
  </si>
  <si>
    <t>FIH Mauritius Investments Ltd</t>
  </si>
  <si>
    <t>Vandana Knitwear Limited</t>
  </si>
  <si>
    <t>Siddharth Gattani and Shorya Gattani</t>
  </si>
  <si>
    <t>12571^</t>
  </si>
  <si>
    <t># Second Advance Estimates as per MOSPI press release dated Feb. 26, 2021</t>
  </si>
  <si>
    <t>Clearing Corporation**</t>
  </si>
  <si>
    <t>**Government of India notified the commencement of Section 13 and Section 33 of the IFSCA Act, 2019 w.e.f. Oct 1, 2020. Pursuant to the same, IFSCA was empowered as the unified regulator; and the issues relating to GIFT-IFSC no longer fall under the regulatory purview of SEBI.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</si>
</sst>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64" formatCode="_(* #,##0.00_);_(* \(#,##0.00\);_(* &quot;-&quot;??_);_(@_)"/>
    <numFmt numFmtId="165" formatCode="#,##0;\-#,##0;0"/>
    <numFmt numFmtId="166" formatCode="0.0"/>
    <numFmt numFmtId="167" formatCode="0.0;\-0.0;0"/>
    <numFmt numFmtId="168" formatCode="#,##0;\-#,##0;0.0"/>
    <numFmt numFmtId="169" formatCode="0\,00\,000;\-0\,00\,000;0.0"/>
    <numFmt numFmtId="170" formatCode="0;\(0\)"/>
    <numFmt numFmtId="171" formatCode="0\,00\,000;\-0\,00\,000;0"/>
    <numFmt numFmtId="172" formatCode="0\,00\,00\,000;\-0\,00\,00\,000;0"/>
    <numFmt numFmtId="173" formatCode="0.0;\-0.0;0.0"/>
    <numFmt numFmtId="174" formatCode="0.0;0.0;0"/>
    <numFmt numFmtId="175" formatCode="0.0;\(0\);0.0"/>
    <numFmt numFmtId="176" formatCode="#,##0.0;\-#,##0.0;0.0"/>
    <numFmt numFmtId="177" formatCode="[$-409]d\-mmm\-yy;@"/>
    <numFmt numFmtId="178" formatCode="[$-409]mmm\-yy;@"/>
    <numFmt numFmtId="179" formatCode="[&gt;=10000000]#.###\,##\,##0;[&gt;=100000]#.###\,##0;##,##0.0"/>
    <numFmt numFmtId="180" formatCode="[&gt;=10000000]#\,##\,##\,##0;[&gt;=100000]#\,##\,##0;##,##0"/>
    <numFmt numFmtId="181" formatCode="_(* #,##0_);_(* \(#,##0\);_(* &quot;-&quot;??_);_(@_)"/>
    <numFmt numFmtId="182" formatCode="_(* #,##0.0_);_(* \(#,##0.0\);_(* &quot;-&quot;??_);_(@_)"/>
    <numFmt numFmtId="183" formatCode="#,##0.00;\-#,##0.00;0.00"/>
    <numFmt numFmtId="184" formatCode="[$-409]d/mmm/yy;@"/>
    <numFmt numFmtId="185" formatCode="0.00_);\(0.00\)"/>
    <numFmt numFmtId="186" formatCode="#,##0.0;\-#,##0.0;0.00"/>
    <numFmt numFmtId="187" formatCode="0.00;\-0.00;0.0"/>
    <numFmt numFmtId="188" formatCode="#,##0.0"/>
    <numFmt numFmtId="189" formatCode="0;\-0;0"/>
    <numFmt numFmtId="190" formatCode="0.00;\-0.00;0.00"/>
    <numFmt numFmtId="191" formatCode="0.0_ ;\-0.0\ "/>
    <numFmt numFmtId="192" formatCode="#,##0.0_ ;\-#,##0.0\ "/>
    <numFmt numFmtId="193" formatCode="#,##0.00;\-#,##0.00;0.0"/>
    <numFmt numFmtId="194" formatCode="[&gt;=10000000]#.0\,##\,##\,##0;[&gt;=100000]#.0\,##\,##0;##,##0.0"/>
    <numFmt numFmtId="195" formatCode="[&gt;=10000000]#.##\,##\,##0;[&gt;=100000]#.##\,##0;##,##0"/>
    <numFmt numFmtId="196" formatCode="[&gt;=10000000]#.#\,##\,##0;[&gt;=100000]#.#\,##0;##,##0"/>
    <numFmt numFmtId="197" formatCode="0.0000"/>
    <numFmt numFmtId="198" formatCode="_(* #,##0.0000_);_(* \(#,##0.0000\);_(* &quot;-&quot;??_);_(@_)"/>
    <numFmt numFmtId="199" formatCode="_(* #,##0.000_);_(* \(#,##0.000\);_(* &quot;-&quot;??_);_(@_)"/>
    <numFmt numFmtId="200" formatCode="0.00000"/>
    <numFmt numFmtId="201" formatCode="0.000"/>
    <numFmt numFmtId="202" formatCode="[&gt;=10000000]#.##\,##\,##0;[&gt;=100000]#.##\,##0;##,##0.0"/>
    <numFmt numFmtId="203" formatCode="[&gt;=10000000]#.##;[&gt;=1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1"/>
      <color theme="1"/>
      <name val="Calibri"/>
      <family val="2"/>
      <scheme val="minor"/>
    </font>
    <font>
      <sz val="10"/>
      <color theme="1"/>
      <name val="Garamond"/>
      <family val="2"/>
    </font>
    <font>
      <sz val="10"/>
      <name val="Arial"/>
      <family val="2"/>
    </font>
    <font>
      <b/>
      <sz val="10"/>
      <color indexed="8"/>
      <name val="Palatino Linotype"/>
      <family val="1"/>
    </font>
    <font>
      <sz val="10"/>
      <name val="Palatino Linotype"/>
      <family val="1"/>
    </font>
    <font>
      <b/>
      <sz val="10"/>
      <name val="Palatino Linotype"/>
      <family val="1"/>
    </font>
    <font>
      <sz val="10"/>
      <color indexed="8"/>
      <name val="Palatino Linotype"/>
      <family val="1"/>
    </font>
    <font>
      <sz val="10"/>
      <color theme="1"/>
      <name val="Palatino Linotype"/>
      <family val="1"/>
    </font>
    <font>
      <sz val="10"/>
      <color rgb="FF000000"/>
      <name val="Palatino Linotype"/>
      <family val="1"/>
    </font>
    <font>
      <b/>
      <sz val="10"/>
      <color theme="1"/>
      <name val="Palatino Linotype"/>
      <family val="1"/>
    </font>
    <font>
      <b/>
      <sz val="10"/>
      <color rgb="FF000000"/>
      <name val="Palatino Linotype"/>
      <family val="1"/>
    </font>
    <font>
      <i/>
      <sz val="10"/>
      <name val="Palatino Linotype"/>
      <family val="1"/>
    </font>
    <font>
      <sz val="10"/>
      <color rgb="FFFF0000"/>
      <name val="Palatino Linotype"/>
      <family val="1"/>
    </font>
    <font>
      <i/>
      <sz val="10"/>
      <color theme="1"/>
      <name val="Palatino Linotype"/>
      <family val="1"/>
    </font>
    <font>
      <i/>
      <sz val="10"/>
      <color indexed="8"/>
      <name val="Palatino Linotype"/>
      <family val="1"/>
    </font>
    <font>
      <sz val="10"/>
      <color rgb="FF1F497D"/>
      <name val="Palatino Linotype"/>
      <family val="1"/>
    </font>
    <font>
      <b/>
      <vertAlign val="superscript"/>
      <sz val="10"/>
      <color indexed="8"/>
      <name val="Palatino Linotype"/>
      <family val="1"/>
    </font>
    <font>
      <vertAlign val="superscript"/>
      <sz val="10"/>
      <color indexed="8"/>
      <name val="Palatino Linotype"/>
      <family val="1"/>
    </font>
    <font>
      <sz val="10"/>
      <color theme="1"/>
      <name val="Garamond"/>
      <family val="1"/>
    </font>
    <font>
      <sz val="10"/>
      <name val="Garamond"/>
      <family val="1"/>
    </font>
    <font>
      <b/>
      <sz val="10"/>
      <name val="Garamond"/>
      <family val="1"/>
    </font>
    <font>
      <b/>
      <sz val="10"/>
      <color rgb="FFFF0000"/>
      <name val="Palatino Linotype"/>
      <family val="1"/>
    </font>
    <font>
      <sz val="10"/>
      <color indexed="8"/>
      <name val="Garamond"/>
      <family val="2"/>
    </font>
    <font>
      <sz val="10"/>
      <color indexed="8"/>
      <name val="Arial"/>
      <family val="2"/>
    </font>
    <font>
      <b/>
      <sz val="9"/>
      <color indexed="8"/>
      <name val="Palatino Linotype"/>
      <family val="1"/>
    </font>
    <font>
      <b/>
      <i/>
      <sz val="10"/>
      <color indexed="8"/>
      <name val="Palatino Linotype"/>
      <family val="1"/>
    </font>
    <font>
      <sz val="9"/>
      <color indexed="8"/>
      <name val="Palatino Linotype"/>
      <family val="1"/>
    </font>
    <font>
      <sz val="9"/>
      <color theme="1"/>
      <name val="Palatino Linotype"/>
      <family val="1"/>
    </font>
    <font>
      <sz val="11"/>
      <color theme="1"/>
      <name val="Garamond"/>
      <family val="1"/>
    </font>
    <font>
      <b/>
      <sz val="10"/>
      <color theme="1"/>
      <name val="Garamond"/>
      <family val="1"/>
    </font>
    <font>
      <b/>
      <sz val="10"/>
      <color rgb="FF000000"/>
      <name val="Garamond"/>
      <family val="1"/>
    </font>
    <font>
      <sz val="9"/>
      <color indexed="8"/>
      <name val="Arial"/>
      <family val="2"/>
    </font>
    <font>
      <sz val="9"/>
      <color theme="1"/>
      <name val="Arial"/>
      <family val="2"/>
    </font>
    <font>
      <b/>
      <sz val="11"/>
      <name val="Arial"/>
      <family val="2"/>
    </font>
    <font>
      <sz val="11"/>
      <color indexed="8"/>
      <name val="Calibri"/>
      <family val="2"/>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name val="Arial"/>
      <family val="2"/>
    </font>
    <font>
      <sz val="12"/>
      <color rgb="FF000000"/>
      <name val="Arial"/>
      <family val="2"/>
    </font>
    <font>
      <sz val="11"/>
      <color rgb="FF000000"/>
      <name val="Calibri"/>
      <family val="2"/>
      <scheme val="minor"/>
    </font>
    <font>
      <sz val="10"/>
      <color theme="1"/>
      <name val="Arial"/>
      <family val="2"/>
    </font>
    <font>
      <b/>
      <sz val="11"/>
      <color rgb="FF000000"/>
      <name val="Garamond"/>
      <family val="1"/>
    </font>
    <font>
      <b/>
      <sz val="9"/>
      <color theme="1"/>
      <name val="Garamond"/>
      <family val="1"/>
    </font>
    <font>
      <sz val="8"/>
      <color theme="1"/>
      <name val="Arial"/>
      <family val="2"/>
    </font>
    <font>
      <sz val="9"/>
      <color theme="1"/>
      <name val="Garamond"/>
      <family val="1"/>
    </font>
    <font>
      <sz val="9"/>
      <name val="Garamond"/>
      <family val="1"/>
    </font>
    <font>
      <sz val="10"/>
      <color theme="1"/>
      <name val="Rupee Foradian"/>
      <family val="2"/>
    </font>
    <font>
      <b/>
      <sz val="10"/>
      <color theme="1"/>
      <name val="Rupee Foradian"/>
      <family val="2"/>
    </font>
    <font>
      <sz val="10"/>
      <color rgb="FF000000"/>
      <name val="Garamond"/>
      <family val="1"/>
    </font>
    <font>
      <b/>
      <sz val="12"/>
      <color rgb="FF000000"/>
      <name val="Garamond"/>
      <family val="1"/>
    </font>
    <font>
      <sz val="12"/>
      <color theme="1"/>
      <name val="Calibri"/>
      <family val="2"/>
      <scheme val="minor"/>
    </font>
    <font>
      <b/>
      <sz val="12"/>
      <color theme="1"/>
      <name val="Garamond"/>
      <family val="1"/>
    </font>
    <font>
      <sz val="12"/>
      <color theme="1"/>
      <name val="Rupee Foradian"/>
      <family val="2"/>
    </font>
    <font>
      <b/>
      <sz val="12"/>
      <color theme="1"/>
      <name val="Rupee Foradian"/>
      <family val="2"/>
    </font>
    <font>
      <b/>
      <sz val="12"/>
      <name val="Garamond"/>
      <family val="1"/>
    </font>
    <font>
      <sz val="12"/>
      <name val="Garamond"/>
      <family val="1"/>
    </font>
    <font>
      <sz val="12"/>
      <color theme="1"/>
      <name val="Garamond"/>
      <family val="1"/>
    </font>
    <font>
      <sz val="10"/>
      <color theme="1"/>
      <name val="Calibri"/>
      <family val="2"/>
      <scheme val="minor"/>
    </font>
    <font>
      <sz val="10"/>
      <color rgb="FFFF0000"/>
      <name val="Calibri"/>
      <family val="2"/>
      <scheme val="minor"/>
    </font>
    <font>
      <sz val="10"/>
      <color rgb="FF0000FF"/>
      <name val="Calibri"/>
      <family val="2"/>
      <scheme val="minor"/>
    </font>
    <font>
      <b/>
      <sz val="11"/>
      <color theme="1"/>
      <name val="Garamond"/>
      <family val="1"/>
    </font>
    <font>
      <sz val="8"/>
      <color rgb="FF000000"/>
      <name val="Trebuchet MS"/>
      <family val="2"/>
    </font>
    <font>
      <sz val="10"/>
      <color rgb="FF000000"/>
      <name val="MyFirstFont"/>
    </font>
    <font>
      <sz val="12"/>
      <name val="Arial"/>
      <family val="2"/>
    </font>
    <font>
      <sz val="10"/>
      <color indexed="8"/>
      <name val="Arial"/>
    </font>
    <font>
      <sz val="6"/>
      <color indexed="8"/>
      <name val="Arial"/>
    </font>
    <font>
      <sz val="10"/>
      <color rgb="FFFF0000"/>
      <name val="Garamond"/>
      <family val="1"/>
    </font>
    <font>
      <b/>
      <sz val="10"/>
      <color rgb="FFFF0000"/>
      <name val="Garamond"/>
      <family val="1"/>
    </font>
    <font>
      <b/>
      <sz val="14"/>
      <color rgb="FF000000"/>
      <name val="Garamond"/>
      <family val="1"/>
    </font>
    <font>
      <b/>
      <sz val="12"/>
      <color rgb="FFFF0000"/>
      <name val="Calibri"/>
      <family val="2"/>
      <scheme val="minor"/>
    </font>
    <font>
      <b/>
      <sz val="14"/>
      <color theme="1"/>
      <name val="Garamond"/>
      <family val="1"/>
    </font>
    <font>
      <b/>
      <sz val="10"/>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indexed="9"/>
        <bgColor indexed="9"/>
      </patternFill>
    </fill>
    <fill>
      <patternFill patternType="solid">
        <fgColor rgb="FFFFFF00"/>
        <bgColor indexed="64"/>
      </patternFill>
    </fill>
  </fills>
  <borders count="1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style="thin">
        <color auto="1"/>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8"/>
      </left>
      <right style="thin">
        <color indexed="8"/>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style="thin">
        <color auto="1"/>
      </left>
      <right style="thin">
        <color indexed="64"/>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right style="thin">
        <color indexed="8"/>
      </right>
      <top/>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top style="thin">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75">
    <xf numFmtId="0" fontId="0" fillId="0" borderId="0" applyNumberFormat="0" applyFont="0" applyFill="0" applyBorder="0" applyAlignment="0" applyProtection="0"/>
    <xf numFmtId="164" fontId="13" fillId="0" borderId="0" applyNumberFormat="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9" fontId="15" fillId="0" borderId="0">
      <alignment horizontal="right"/>
    </xf>
    <xf numFmtId="177" fontId="14" fillId="0" borderId="0" applyNumberFormat="0" applyFill="0" applyBorder="0" applyAlignment="0" applyProtection="0"/>
    <xf numFmtId="0" fontId="14" fillId="0" borderId="0"/>
    <xf numFmtId="177" fontId="14" fillId="0" borderId="0" applyNumberFormat="0" applyFill="0" applyBorder="0" applyAlignment="0" applyProtection="0"/>
    <xf numFmtId="177" fontId="14" fillId="0" borderId="0"/>
    <xf numFmtId="0" fontId="16" fillId="0" borderId="0"/>
    <xf numFmtId="0" fontId="17" fillId="0" borderId="0" applyNumberFormat="0" applyFill="0" applyBorder="0" applyAlignment="0" applyProtection="0"/>
    <xf numFmtId="177" fontId="14" fillId="0" borderId="0" applyNumberFormat="0" applyFill="0" applyBorder="0" applyAlignment="0" applyProtection="0"/>
    <xf numFmtId="177" fontId="12" fillId="0" borderId="0" applyNumberFormat="0" applyFill="0" applyBorder="0" applyAlignment="0" applyProtection="0"/>
    <xf numFmtId="0" fontId="11" fillId="0" borderId="0"/>
    <xf numFmtId="0" fontId="10" fillId="0" borderId="0"/>
    <xf numFmtId="166" fontId="15" fillId="0" borderId="0">
      <alignment horizontal="right"/>
    </xf>
    <xf numFmtId="0" fontId="10" fillId="0" borderId="0"/>
    <xf numFmtId="0" fontId="9" fillId="0" borderId="0"/>
    <xf numFmtId="0" fontId="9" fillId="0" borderId="0"/>
    <xf numFmtId="0" fontId="9" fillId="0" borderId="0"/>
    <xf numFmtId="184" fontId="13" fillId="0" borderId="0" applyNumberFormat="0" applyFill="0" applyBorder="0" applyAlignment="0" applyProtection="0"/>
    <xf numFmtId="184" fontId="13" fillId="0" borderId="0" applyNumberFormat="0" applyFill="0" applyBorder="0" applyAlignment="0" applyProtection="0"/>
    <xf numFmtId="0" fontId="13" fillId="0" borderId="0"/>
    <xf numFmtId="0" fontId="8" fillId="0" borderId="0"/>
    <xf numFmtId="164" fontId="8" fillId="0" borderId="0" applyFont="0" applyFill="0" applyBorder="0" applyAlignment="0" applyProtection="0"/>
    <xf numFmtId="184" fontId="13" fillId="0" borderId="0" applyNumberFormat="0" applyFill="0" applyBorder="0" applyAlignment="0" applyProtection="0"/>
    <xf numFmtId="184" fontId="13" fillId="0" borderId="0"/>
    <xf numFmtId="177" fontId="7" fillId="0" borderId="0"/>
    <xf numFmtId="177" fontId="13" fillId="0" borderId="0" applyNumberFormat="0" applyFill="0" applyBorder="0" applyAlignment="0" applyProtection="0"/>
    <xf numFmtId="177" fontId="13"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7" fillId="0" borderId="0"/>
    <xf numFmtId="177" fontId="13" fillId="0" borderId="0" applyNumberFormat="0" applyFill="0" applyBorder="0" applyAlignment="0" applyProtection="0"/>
    <xf numFmtId="177" fontId="13" fillId="0" borderId="0"/>
    <xf numFmtId="9" fontId="18" fillId="0" borderId="0" applyFont="0" applyFill="0" applyBorder="0" applyAlignment="0" applyProtection="0"/>
    <xf numFmtId="177" fontId="13" fillId="0" borderId="0" applyNumberFormat="0" applyFill="0" applyBorder="0" applyAlignment="0" applyProtection="0"/>
    <xf numFmtId="185" fontId="15" fillId="0" borderId="0">
      <alignment horizontal="right"/>
    </xf>
    <xf numFmtId="0" fontId="13" fillId="0" borderId="0" applyNumberFormat="0" applyFont="0" applyFill="0" applyBorder="0" applyAlignment="0" applyProtection="0"/>
    <xf numFmtId="177" fontId="6" fillId="0" borderId="0"/>
    <xf numFmtId="164" fontId="6" fillId="0" borderId="0" applyFont="0" applyFill="0" applyBorder="0" applyAlignment="0" applyProtection="0"/>
    <xf numFmtId="177"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4" fillId="0" borderId="0"/>
    <xf numFmtId="177" fontId="17" fillId="0" borderId="0"/>
    <xf numFmtId="0" fontId="4"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7" fillId="0" borderId="0" applyNumberFormat="0" applyFill="0" applyBorder="0" applyAlignment="0" applyProtection="0"/>
    <xf numFmtId="0" fontId="3" fillId="0" borderId="0"/>
    <xf numFmtId="0" fontId="17" fillId="0" borderId="0"/>
    <xf numFmtId="164" fontId="17" fillId="0" borderId="0" applyFont="0" applyFill="0" applyBorder="0" applyAlignment="0" applyProtection="0"/>
    <xf numFmtId="164" fontId="38" fillId="0" borderId="0" applyFont="0" applyFill="0" applyBorder="0" applyAlignment="0" applyProtection="0"/>
    <xf numFmtId="0" fontId="2" fillId="0" borderId="0"/>
    <xf numFmtId="177" fontId="2" fillId="0" borderId="0"/>
    <xf numFmtId="177" fontId="13" fillId="0" borderId="0"/>
    <xf numFmtId="164" fontId="2" fillId="0" borderId="0" applyFont="0" applyFill="0" applyBorder="0" applyAlignment="0" applyProtection="0"/>
    <xf numFmtId="9" fontId="2" fillId="0" borderId="0" applyFont="0" applyFill="0" applyBorder="0" applyAlignment="0" applyProtection="0"/>
    <xf numFmtId="177" fontId="2" fillId="0" borderId="0"/>
    <xf numFmtId="0" fontId="2" fillId="0" borderId="0"/>
    <xf numFmtId="164" fontId="2" fillId="0" borderId="0" applyFont="0" applyFill="0" applyBorder="0" applyAlignment="0" applyProtection="0"/>
    <xf numFmtId="0" fontId="2" fillId="0" borderId="0"/>
    <xf numFmtId="184" fontId="13" fillId="0" borderId="0"/>
    <xf numFmtId="0" fontId="1" fillId="0" borderId="0"/>
    <xf numFmtId="164" fontId="50" fillId="0" borderId="0" applyFont="0" applyFill="0" applyBorder="0" applyAlignment="0" applyProtection="0"/>
    <xf numFmtId="177" fontId="1" fillId="0" borderId="0"/>
    <xf numFmtId="164" fontId="1" fillId="0" borderId="0" applyFont="0" applyFill="0" applyBorder="0" applyAlignment="0" applyProtection="0"/>
    <xf numFmtId="9" fontId="1" fillId="0" borderId="0" applyFont="0" applyFill="0" applyBorder="0" applyAlignment="0" applyProtection="0"/>
    <xf numFmtId="177" fontId="1" fillId="0" borderId="0"/>
    <xf numFmtId="0" fontId="1" fillId="0" borderId="0"/>
    <xf numFmtId="164" fontId="1" fillId="0" borderId="0" applyFont="0" applyFill="0" applyBorder="0" applyAlignment="0" applyProtection="0"/>
    <xf numFmtId="0" fontId="1" fillId="0" borderId="0"/>
  </cellStyleXfs>
  <cellXfs count="1558">
    <xf numFmtId="0" fontId="0" fillId="0" borderId="0" xfId="0" applyNumberFormat="1" applyFont="1" applyFill="1" applyBorder="1" applyAlignment="1"/>
    <xf numFmtId="0" fontId="20" fillId="0" borderId="0" xfId="38" applyNumberFormat="1" applyFont="1" applyFill="1" applyBorder="1" applyAlignment="1"/>
    <xf numFmtId="0" fontId="21" fillId="3" borderId="50" xfId="0" applyFont="1" applyFill="1" applyBorder="1" applyAlignment="1">
      <alignment horizontal="center" vertical="center" wrapText="1"/>
    </xf>
    <xf numFmtId="0" fontId="21" fillId="3" borderId="18" xfId="0" applyFont="1" applyFill="1" applyBorder="1" applyAlignment="1">
      <alignment horizontal="center" vertical="top" wrapText="1"/>
    </xf>
    <xf numFmtId="0" fontId="21" fillId="3" borderId="52" xfId="0" applyFont="1" applyFill="1" applyBorder="1" applyAlignment="1">
      <alignment horizontal="center" wrapText="1"/>
    </xf>
    <xf numFmtId="0" fontId="21" fillId="3" borderId="52" xfId="0" applyFont="1" applyFill="1" applyBorder="1" applyAlignment="1">
      <alignment horizontal="center" vertical="center" wrapText="1"/>
    </xf>
    <xf numFmtId="49" fontId="19" fillId="0" borderId="49" xfId="38" applyNumberFormat="1" applyFont="1" applyFill="1" applyBorder="1" applyAlignment="1">
      <alignment horizontal="left" vertical="center"/>
    </xf>
    <xf numFmtId="0" fontId="19" fillId="0" borderId="49" xfId="38" applyFont="1" applyFill="1" applyBorder="1" applyAlignment="1">
      <alignment horizontal="right"/>
    </xf>
    <xf numFmtId="168" fontId="19" fillId="0" borderId="49" xfId="38" applyNumberFormat="1" applyFont="1" applyFill="1" applyBorder="1" applyAlignment="1">
      <alignment horizontal="right"/>
    </xf>
    <xf numFmtId="3" fontId="19" fillId="0" borderId="49" xfId="38" applyNumberFormat="1" applyFont="1" applyFill="1" applyBorder="1" applyAlignment="1">
      <alignment horizontal="right"/>
    </xf>
    <xf numFmtId="169" fontId="19" fillId="0" borderId="49" xfId="38" applyNumberFormat="1" applyFont="1" applyFill="1" applyBorder="1" applyAlignment="1">
      <alignment horizontal="right"/>
    </xf>
    <xf numFmtId="178" fontId="22" fillId="0" borderId="43" xfId="38" applyNumberFormat="1" applyFont="1" applyFill="1" applyBorder="1" applyAlignment="1">
      <alignment horizontal="left" vertical="center"/>
    </xf>
    <xf numFmtId="0" fontId="24" fillId="0" borderId="43" xfId="38" applyFont="1" applyFill="1" applyBorder="1"/>
    <xf numFmtId="1" fontId="24" fillId="0" borderId="43" xfId="38" applyNumberFormat="1" applyFont="1" applyFill="1" applyBorder="1"/>
    <xf numFmtId="0" fontId="22" fillId="0" borderId="43" xfId="38" applyFont="1" applyFill="1" applyBorder="1" applyAlignment="1">
      <alignment horizontal="right"/>
    </xf>
    <xf numFmtId="49" fontId="19" fillId="0" borderId="0" xfId="38" applyNumberFormat="1" applyFont="1" applyFill="1" applyBorder="1" applyAlignment="1">
      <alignment horizontal="left" vertical="center"/>
    </xf>
    <xf numFmtId="0" fontId="22" fillId="0" borderId="0" xfId="38" applyFont="1" applyFill="1" applyBorder="1" applyAlignment="1">
      <alignment horizontal="right"/>
    </xf>
    <xf numFmtId="168" fontId="22" fillId="0" borderId="0" xfId="38" applyNumberFormat="1" applyFont="1" applyFill="1" applyBorder="1" applyAlignment="1">
      <alignment horizontal="right"/>
    </xf>
    <xf numFmtId="3" fontId="22" fillId="0" borderId="0" xfId="38" applyNumberFormat="1" applyFont="1" applyFill="1" applyBorder="1" applyAlignment="1">
      <alignment horizontal="right"/>
    </xf>
    <xf numFmtId="165" fontId="22" fillId="0" borderId="0" xfId="38" applyNumberFormat="1" applyFont="1" applyFill="1" applyBorder="1" applyAlignment="1">
      <alignment horizontal="right"/>
    </xf>
    <xf numFmtId="0" fontId="22" fillId="0" borderId="0" xfId="38" applyFont="1" applyFill="1" applyAlignment="1">
      <alignment vertical="center"/>
    </xf>
    <xf numFmtId="0" fontId="20" fillId="0" borderId="0" xfId="0" applyNumberFormat="1" applyFont="1" applyFill="1" applyBorder="1" applyAlignment="1"/>
    <xf numFmtId="0" fontId="22" fillId="0" borderId="0" xfId="0" applyFont="1" applyFill="1" applyAlignment="1">
      <alignment vertical="center"/>
    </xf>
    <xf numFmtId="0" fontId="19" fillId="0" borderId="0" xfId="0" applyFont="1" applyFill="1" applyAlignment="1">
      <alignment vertical="center"/>
    </xf>
    <xf numFmtId="0" fontId="22" fillId="2" borderId="0" xfId="0" applyFont="1" applyFill="1" applyAlignment="1">
      <alignment vertical="center"/>
    </xf>
    <xf numFmtId="0" fontId="19" fillId="2" borderId="0" xfId="0" applyFont="1" applyFill="1" applyAlignment="1">
      <alignment vertical="center"/>
    </xf>
    <xf numFmtId="165" fontId="22" fillId="2" borderId="0" xfId="0" applyNumberFormat="1" applyFont="1" applyFill="1" applyBorder="1" applyAlignment="1">
      <alignment horizontal="right"/>
    </xf>
    <xf numFmtId="49" fontId="22" fillId="2" borderId="0" xfId="0" applyNumberFormat="1" applyFont="1" applyFill="1" applyAlignment="1"/>
    <xf numFmtId="49" fontId="22" fillId="2" borderId="0" xfId="0" applyNumberFormat="1" applyFont="1" applyFill="1" applyBorder="1" applyAlignment="1">
      <alignment horizontal="left"/>
    </xf>
    <xf numFmtId="49" fontId="22" fillId="0" borderId="0" xfId="0" applyNumberFormat="1" applyFont="1" applyFill="1" applyBorder="1" applyAlignment="1">
      <alignment horizontal="left"/>
    </xf>
    <xf numFmtId="173" fontId="22" fillId="0" borderId="0" xfId="0" applyNumberFormat="1" applyFont="1" applyFill="1" applyBorder="1" applyAlignment="1">
      <alignment horizontal="right"/>
    </xf>
    <xf numFmtId="0" fontId="22" fillId="2" borderId="0" xfId="0" applyFont="1" applyFill="1" applyBorder="1" applyAlignment="1">
      <alignment horizontal="right"/>
    </xf>
    <xf numFmtId="171" fontId="22" fillId="2" borderId="0" xfId="0" applyNumberFormat="1" applyFont="1" applyFill="1" applyBorder="1" applyAlignment="1">
      <alignment horizontal="right"/>
    </xf>
    <xf numFmtId="3" fontId="20" fillId="0" borderId="0" xfId="0" applyNumberFormat="1" applyFont="1" applyFill="1" applyBorder="1" applyAlignment="1"/>
    <xf numFmtId="165" fontId="22" fillId="0" borderId="0" xfId="0" applyNumberFormat="1" applyFont="1" applyFill="1" applyBorder="1" applyAlignment="1">
      <alignment horizontal="right"/>
    </xf>
    <xf numFmtId="171"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 fontId="22" fillId="0" borderId="0" xfId="0" applyNumberFormat="1" applyFont="1" applyFill="1" applyAlignment="1">
      <alignment vertical="center"/>
    </xf>
    <xf numFmtId="0" fontId="22" fillId="0" borderId="0" xfId="0" applyFont="1" applyFill="1" applyBorder="1" applyAlignment="1">
      <alignment horizontal="right"/>
    </xf>
    <xf numFmtId="0" fontId="24" fillId="0" borderId="0" xfId="0" applyNumberFormat="1" applyFont="1" applyFill="1" applyBorder="1" applyAlignment="1">
      <alignment vertical="center"/>
    </xf>
    <xf numFmtId="0" fontId="24" fillId="4" borderId="0" xfId="0" applyNumberFormat="1" applyFont="1" applyFill="1" applyBorder="1" applyAlignment="1">
      <alignment vertical="center"/>
    </xf>
    <xf numFmtId="49" fontId="22" fillId="0" borderId="0" xfId="0" applyNumberFormat="1" applyFont="1" applyFill="1" applyAlignment="1">
      <alignment horizontal="left"/>
    </xf>
    <xf numFmtId="49" fontId="19" fillId="2" borderId="0" xfId="0" applyNumberFormat="1" applyFont="1" applyFill="1" applyAlignment="1">
      <alignment horizontal="left" vertical="top"/>
    </xf>
    <xf numFmtId="0" fontId="20" fillId="0" borderId="0" xfId="0" applyNumberFormat="1" applyFont="1" applyFill="1" applyBorder="1" applyAlignment="1">
      <alignment vertical="center" wrapText="1"/>
    </xf>
    <xf numFmtId="49" fontId="19" fillId="0" borderId="29" xfId="0" applyNumberFormat="1" applyFont="1" applyFill="1" applyBorder="1" applyAlignment="1">
      <alignment horizontal="center" vertical="center" wrapText="1"/>
    </xf>
    <xf numFmtId="49" fontId="19" fillId="0" borderId="29" xfId="0" applyNumberFormat="1" applyFont="1" applyFill="1" applyBorder="1" applyAlignment="1">
      <alignment horizontal="left" vertical="center" wrapText="1"/>
    </xf>
    <xf numFmtId="0" fontId="24" fillId="0" borderId="29" xfId="0" applyFont="1" applyFill="1" applyBorder="1" applyAlignment="1">
      <alignment horizontal="left"/>
    </xf>
    <xf numFmtId="15" fontId="24" fillId="0" borderId="29" xfId="0" applyNumberFormat="1" applyFont="1" applyFill="1" applyBorder="1" applyAlignment="1">
      <alignment horizontal="center"/>
    </xf>
    <xf numFmtId="0" fontId="24" fillId="0" borderId="29" xfId="0" applyFont="1" applyFill="1" applyBorder="1" applyAlignment="1">
      <alignment horizontal="center"/>
    </xf>
    <xf numFmtId="0" fontId="20" fillId="0" borderId="29" xfId="0" applyFont="1" applyFill="1" applyBorder="1" applyAlignment="1">
      <alignment horizontal="center"/>
    </xf>
    <xf numFmtId="3" fontId="24" fillId="0" borderId="29" xfId="0" applyNumberFormat="1" applyFont="1" applyFill="1" applyBorder="1" applyAlignment="1">
      <alignment horizontal="center"/>
    </xf>
    <xf numFmtId="0" fontId="24" fillId="0" borderId="0" xfId="0" applyNumberFormat="1" applyFont="1" applyFill="1" applyBorder="1" applyAlignment="1"/>
    <xf numFmtId="0" fontId="20" fillId="0" borderId="0" xfId="0" applyNumberFormat="1" applyFont="1" applyFill="1" applyBorder="1" applyAlignment="1">
      <alignment horizontal="left"/>
    </xf>
    <xf numFmtId="168" fontId="22" fillId="0" borderId="29" xfId="0" applyNumberFormat="1" applyFont="1" applyFill="1" applyBorder="1" applyAlignment="1">
      <alignment horizontal="center"/>
    </xf>
    <xf numFmtId="0" fontId="22" fillId="0" borderId="0" xfId="0" applyFont="1" applyFill="1" applyAlignment="1">
      <alignment horizontal="left" vertical="center"/>
    </xf>
    <xf numFmtId="49" fontId="19" fillId="0" borderId="40" xfId="38" applyNumberFormat="1" applyFont="1" applyFill="1" applyBorder="1" applyAlignment="1">
      <alignment horizontal="center" vertical="center" wrapText="1"/>
    </xf>
    <xf numFmtId="49" fontId="19" fillId="0" borderId="40" xfId="38" applyNumberFormat="1" applyFont="1" applyFill="1" applyBorder="1" applyAlignment="1">
      <alignment horizontal="left"/>
    </xf>
    <xf numFmtId="0" fontId="19" fillId="0" borderId="40" xfId="38" applyFont="1" applyFill="1" applyBorder="1" applyAlignment="1">
      <alignment horizontal="right"/>
    </xf>
    <xf numFmtId="165" fontId="19" fillId="0" borderId="40" xfId="38" applyNumberFormat="1" applyFont="1" applyFill="1" applyBorder="1" applyAlignment="1">
      <alignment horizontal="right"/>
    </xf>
    <xf numFmtId="168" fontId="19" fillId="0" borderId="40" xfId="38" applyNumberFormat="1" applyFont="1" applyFill="1" applyBorder="1" applyAlignment="1">
      <alignment horizontal="right"/>
    </xf>
    <xf numFmtId="165" fontId="22" fillId="2" borderId="36" xfId="38" applyNumberFormat="1" applyFont="1" applyFill="1" applyBorder="1" applyAlignment="1">
      <alignment horizontal="right"/>
    </xf>
    <xf numFmtId="165" fontId="22" fillId="0" borderId="0" xfId="38" applyNumberFormat="1" applyFont="1" applyFill="1" applyAlignment="1">
      <alignment vertical="center"/>
    </xf>
    <xf numFmtId="0" fontId="23" fillId="0" borderId="0" xfId="0" applyFont="1" applyFill="1" applyAlignment="1">
      <alignment vertical="center"/>
    </xf>
    <xf numFmtId="49" fontId="19" fillId="0" borderId="20" xfId="0" applyNumberFormat="1" applyFont="1" applyFill="1" applyBorder="1" applyAlignment="1">
      <alignment horizontal="center" vertical="center" wrapText="1"/>
    </xf>
    <xf numFmtId="49" fontId="19" fillId="0" borderId="20" xfId="0" applyNumberFormat="1" applyFont="1" applyFill="1" applyBorder="1" applyAlignment="1">
      <alignment horizontal="left" vertical="center"/>
    </xf>
    <xf numFmtId="165" fontId="19" fillId="0" borderId="20" xfId="0" applyNumberFormat="1" applyFont="1" applyFill="1" applyBorder="1" applyAlignment="1">
      <alignment horizontal="right"/>
    </xf>
    <xf numFmtId="0" fontId="19" fillId="0" borderId="20" xfId="0" applyFont="1" applyFill="1" applyBorder="1" applyAlignment="1">
      <alignment horizontal="right"/>
    </xf>
    <xf numFmtId="168" fontId="19" fillId="0" borderId="20" xfId="0" applyNumberFormat="1" applyFont="1" applyFill="1" applyBorder="1" applyAlignment="1">
      <alignment horizontal="right"/>
    </xf>
    <xf numFmtId="178" fontId="22" fillId="0" borderId="20" xfId="0" applyNumberFormat="1" applyFont="1" applyFill="1" applyBorder="1" applyAlignment="1">
      <alignment horizontal="left" vertical="center"/>
    </xf>
    <xf numFmtId="178" fontId="23" fillId="0" borderId="29" xfId="0" applyNumberFormat="1" applyFont="1" applyFill="1" applyBorder="1" applyAlignment="1">
      <alignment horizontal="left" vertical="center"/>
    </xf>
    <xf numFmtId="168" fontId="22" fillId="0" borderId="0" xfId="0" applyNumberFormat="1" applyFont="1" applyFill="1" applyBorder="1" applyAlignment="1">
      <alignment horizontal="right"/>
    </xf>
    <xf numFmtId="1" fontId="20" fillId="0" borderId="0" xfId="0" applyNumberFormat="1" applyFont="1" applyFill="1" applyBorder="1" applyAlignment="1"/>
    <xf numFmtId="168" fontId="20" fillId="0" borderId="0" xfId="0" applyNumberFormat="1" applyFont="1" applyFill="1" applyBorder="1" applyAlignment="1"/>
    <xf numFmtId="49" fontId="19" fillId="0" borderId="3"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wrapText="1"/>
    </xf>
    <xf numFmtId="49" fontId="19" fillId="0" borderId="3" xfId="0" applyNumberFormat="1" applyFont="1" applyFill="1" applyBorder="1" applyAlignment="1">
      <alignment horizontal="left" vertical="center"/>
    </xf>
    <xf numFmtId="165" fontId="19" fillId="0" borderId="3" xfId="0" applyNumberFormat="1" applyFont="1" applyFill="1" applyBorder="1" applyAlignment="1">
      <alignment horizontal="right" vertical="center"/>
    </xf>
    <xf numFmtId="186" fontId="19" fillId="0" borderId="3" xfId="0" applyNumberFormat="1" applyFont="1" applyFill="1" applyBorder="1" applyAlignment="1">
      <alignment horizontal="right" vertical="center"/>
    </xf>
    <xf numFmtId="49" fontId="19" fillId="0" borderId="0" xfId="0" applyNumberFormat="1" applyFont="1" applyFill="1" applyAlignment="1">
      <alignment wrapText="1"/>
    </xf>
    <xf numFmtId="0" fontId="20" fillId="0" borderId="18" xfId="0" applyFont="1" applyFill="1" applyBorder="1" applyAlignment="1">
      <alignment horizontal="left" wrapText="1"/>
    </xf>
    <xf numFmtId="0" fontId="20" fillId="0" borderId="19" xfId="0" applyFont="1" applyFill="1" applyBorder="1" applyAlignment="1">
      <alignment horizontal="left" wrapText="1"/>
    </xf>
    <xf numFmtId="0" fontId="21" fillId="0" borderId="3" xfId="0" applyFont="1" applyFill="1" applyBorder="1" applyAlignment="1">
      <alignment horizontal="left" wrapText="1"/>
    </xf>
    <xf numFmtId="0" fontId="24" fillId="0" borderId="41" xfId="0" applyNumberFormat="1" applyFont="1" applyFill="1" applyBorder="1" applyAlignment="1">
      <alignment horizontal="right" vertical="center" wrapText="1"/>
    </xf>
    <xf numFmtId="165" fontId="22" fillId="2" borderId="41" xfId="0" applyNumberFormat="1" applyFont="1" applyFill="1" applyBorder="1" applyAlignment="1">
      <alignment horizontal="right"/>
    </xf>
    <xf numFmtId="165" fontId="19" fillId="2" borderId="41" xfId="0" applyNumberFormat="1" applyFont="1" applyFill="1" applyBorder="1" applyAlignment="1">
      <alignment horizontal="right"/>
    </xf>
    <xf numFmtId="178" fontId="22" fillId="0" borderId="0" xfId="0" applyNumberFormat="1" applyFont="1" applyFill="1" applyBorder="1" applyAlignment="1">
      <alignment horizontal="left" vertical="center"/>
    </xf>
    <xf numFmtId="49" fontId="22" fillId="0" borderId="0" xfId="0" applyNumberFormat="1" applyFont="1" applyFill="1" applyBorder="1" applyAlignment="1">
      <alignment horizontal="left" vertical="center" wrapText="1"/>
    </xf>
    <xf numFmtId="49" fontId="22" fillId="0" borderId="0" xfId="0" applyNumberFormat="1" applyFont="1" applyFill="1" applyAlignment="1"/>
    <xf numFmtId="49" fontId="22" fillId="0" borderId="0" xfId="0" applyNumberFormat="1" applyFont="1" applyFill="1" applyAlignment="1">
      <alignment wrapText="1"/>
    </xf>
    <xf numFmtId="49" fontId="19" fillId="0" borderId="1" xfId="0" applyNumberFormat="1" applyFont="1" applyFill="1" applyBorder="1" applyAlignment="1">
      <alignment horizontal="left" vertical="center"/>
    </xf>
    <xf numFmtId="1" fontId="19" fillId="0" borderId="1" xfId="0" applyNumberFormat="1" applyFont="1" applyFill="1" applyBorder="1" applyAlignment="1">
      <alignment horizontal="right"/>
    </xf>
    <xf numFmtId="165" fontId="19" fillId="0" borderId="1" xfId="0" applyNumberFormat="1" applyFont="1" applyFill="1" applyBorder="1" applyAlignment="1">
      <alignment horizontal="right"/>
    </xf>
    <xf numFmtId="0" fontId="19" fillId="0" borderId="1" xfId="0" applyFont="1" applyFill="1" applyBorder="1" applyAlignment="1">
      <alignment horizontal="right"/>
    </xf>
    <xf numFmtId="165" fontId="22" fillId="0" borderId="1" xfId="0" applyNumberFormat="1" applyFont="1" applyFill="1" applyBorder="1" applyAlignment="1">
      <alignment horizontal="right"/>
    </xf>
    <xf numFmtId="49" fontId="19" fillId="2"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xf>
    <xf numFmtId="3" fontId="19" fillId="0" borderId="1" xfId="0" applyNumberFormat="1" applyFont="1" applyFill="1" applyBorder="1" applyAlignment="1">
      <alignment horizontal="right"/>
    </xf>
    <xf numFmtId="49" fontId="19" fillId="0" borderId="1" xfId="0" applyNumberFormat="1" applyFont="1" applyFill="1" applyBorder="1" applyAlignment="1">
      <alignment horizontal="center"/>
    </xf>
    <xf numFmtId="49" fontId="19" fillId="2" borderId="0" xfId="0" applyNumberFormat="1" applyFont="1" applyFill="1" applyAlignment="1">
      <alignment vertical="top"/>
    </xf>
    <xf numFmtId="49" fontId="19" fillId="2" borderId="1" xfId="0" applyNumberFormat="1" applyFont="1" applyFill="1" applyBorder="1" applyAlignment="1">
      <alignment horizontal="center" vertical="center"/>
    </xf>
    <xf numFmtId="49" fontId="19" fillId="2" borderId="1" xfId="0" applyNumberFormat="1" applyFont="1" applyFill="1" applyBorder="1" applyAlignment="1">
      <alignment horizontal="left"/>
    </xf>
    <xf numFmtId="165" fontId="19" fillId="2" borderId="1" xfId="0" applyNumberFormat="1" applyFont="1" applyFill="1" applyBorder="1" applyAlignment="1">
      <alignment horizontal="right"/>
    </xf>
    <xf numFmtId="167" fontId="19" fillId="2" borderId="1" xfId="0" applyNumberFormat="1" applyFont="1" applyFill="1" applyBorder="1" applyAlignment="1">
      <alignment horizontal="right"/>
    </xf>
    <xf numFmtId="165" fontId="22" fillId="2" borderId="1" xfId="0" applyNumberFormat="1" applyFont="1" applyFill="1" applyBorder="1" applyAlignment="1">
      <alignment horizontal="right"/>
    </xf>
    <xf numFmtId="0" fontId="22" fillId="2" borderId="1" xfId="0" applyFont="1" applyFill="1" applyBorder="1" applyAlignment="1">
      <alignment horizontal="right"/>
    </xf>
    <xf numFmtId="175" fontId="22" fillId="0" borderId="0" xfId="0" applyNumberFormat="1" applyFont="1" applyFill="1" applyBorder="1" applyAlignment="1">
      <alignment horizontal="right"/>
    </xf>
    <xf numFmtId="9" fontId="20" fillId="0" borderId="0" xfId="35" applyFont="1" applyFill="1" applyBorder="1" applyAlignment="1"/>
    <xf numFmtId="166" fontId="21" fillId="0" borderId="29" xfId="0" applyNumberFormat="1" applyFont="1" applyFill="1" applyBorder="1"/>
    <xf numFmtId="0" fontId="20" fillId="0" borderId="0" xfId="0" applyNumberFormat="1" applyFont="1" applyFill="1" applyBorder="1" applyAlignment="1">
      <alignment horizontal="right"/>
    </xf>
    <xf numFmtId="166" fontId="20" fillId="0" borderId="0" xfId="35" applyNumberFormat="1" applyFont="1" applyFill="1" applyBorder="1" applyAlignment="1">
      <alignment horizontal="right"/>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2" borderId="1" xfId="0" applyFont="1" applyFill="1" applyBorder="1" applyAlignment="1">
      <alignment horizontal="center" vertical="center"/>
    </xf>
    <xf numFmtId="49" fontId="22" fillId="2" borderId="40" xfId="0" applyNumberFormat="1" applyFont="1" applyFill="1" applyBorder="1" applyAlignment="1">
      <alignment horizontal="left" vertical="center" wrapText="1"/>
    </xf>
    <xf numFmtId="165" fontId="22" fillId="2" borderId="40" xfId="0" applyNumberFormat="1" applyFont="1" applyFill="1" applyBorder="1" applyAlignment="1">
      <alignment horizontal="right" vertical="center"/>
    </xf>
    <xf numFmtId="171" fontId="22" fillId="2" borderId="40" xfId="0" applyNumberFormat="1" applyFont="1" applyFill="1" applyBorder="1" applyAlignment="1">
      <alignment horizontal="right" vertical="center"/>
    </xf>
    <xf numFmtId="173" fontId="22" fillId="2" borderId="40" xfId="0" applyNumberFormat="1" applyFont="1" applyFill="1" applyBorder="1" applyAlignment="1">
      <alignment horizontal="right" vertical="center"/>
    </xf>
    <xf numFmtId="0" fontId="22" fillId="0" borderId="1" xfId="0" applyFont="1" applyFill="1" applyBorder="1" applyAlignment="1">
      <alignment horizontal="center" vertical="center"/>
    </xf>
    <xf numFmtId="49" fontId="22" fillId="0" borderId="40" xfId="0" applyNumberFormat="1" applyFont="1" applyFill="1" applyBorder="1" applyAlignment="1">
      <alignment horizontal="left" vertical="center" wrapText="1"/>
    </xf>
    <xf numFmtId="165" fontId="22" fillId="0" borderId="40" xfId="0" applyNumberFormat="1" applyFont="1" applyFill="1" applyBorder="1" applyAlignment="1">
      <alignment horizontal="right" vertical="center"/>
    </xf>
    <xf numFmtId="171" fontId="22" fillId="0" borderId="40" xfId="0" applyNumberFormat="1" applyFont="1" applyFill="1" applyBorder="1" applyAlignment="1">
      <alignment horizontal="right" vertical="center"/>
    </xf>
    <xf numFmtId="167" fontId="22" fillId="0" borderId="40" xfId="0" applyNumberFormat="1" applyFont="1" applyFill="1" applyBorder="1" applyAlignment="1">
      <alignment horizontal="right" vertical="center"/>
    </xf>
    <xf numFmtId="173" fontId="22" fillId="0" borderId="40" xfId="0" applyNumberFormat="1" applyFont="1" applyFill="1" applyBorder="1" applyAlignment="1">
      <alignment horizontal="right" vertical="center"/>
    </xf>
    <xf numFmtId="0" fontId="20" fillId="0" borderId="48" xfId="0" applyFont="1" applyFill="1" applyBorder="1"/>
    <xf numFmtId="49" fontId="23" fillId="0" borderId="40" xfId="0" applyNumberFormat="1" applyFont="1" applyFill="1" applyBorder="1" applyAlignment="1">
      <alignment horizontal="left" vertical="center" wrapText="1"/>
    </xf>
    <xf numFmtId="49" fontId="19" fillId="2" borderId="0" xfId="0" applyNumberFormat="1" applyFont="1" applyFill="1" applyAlignment="1"/>
    <xf numFmtId="49" fontId="19" fillId="2" borderId="42" xfId="0" applyNumberFormat="1" applyFont="1" applyFill="1" applyBorder="1" applyAlignment="1">
      <alignment horizontal="center"/>
    </xf>
    <xf numFmtId="49" fontId="25" fillId="0" borderId="38" xfId="0" applyNumberFormat="1" applyFont="1" applyFill="1" applyBorder="1" applyAlignment="1">
      <alignment horizontal="left"/>
    </xf>
    <xf numFmtId="166" fontId="21" fillId="0" borderId="41" xfId="0" applyNumberFormat="1" applyFont="1" applyBorder="1"/>
    <xf numFmtId="173" fontId="22" fillId="2" borderId="0" xfId="0" applyNumberFormat="1" applyFont="1" applyFill="1" applyBorder="1" applyAlignment="1">
      <alignment horizontal="right"/>
    </xf>
    <xf numFmtId="49" fontId="19" fillId="2" borderId="1" xfId="0" applyNumberFormat="1" applyFont="1" applyFill="1" applyBorder="1" applyAlignment="1">
      <alignment horizontal="center"/>
    </xf>
    <xf numFmtId="49" fontId="19" fillId="2" borderId="3" xfId="0" applyNumberFormat="1" applyFont="1" applyFill="1" applyBorder="1" applyAlignment="1">
      <alignment horizontal="center"/>
    </xf>
    <xf numFmtId="49" fontId="25" fillId="0" borderId="3" xfId="0" applyNumberFormat="1" applyFont="1" applyFill="1" applyBorder="1" applyAlignment="1">
      <alignment horizontal="center"/>
    </xf>
    <xf numFmtId="0" fontId="22" fillId="2" borderId="4" xfId="0" applyFont="1" applyFill="1" applyBorder="1" applyAlignment="1">
      <alignment horizontal="right"/>
    </xf>
    <xf numFmtId="49" fontId="22" fillId="2" borderId="4" xfId="0" applyNumberFormat="1" applyFont="1" applyFill="1" applyBorder="1" applyAlignment="1">
      <alignment horizontal="left"/>
    </xf>
    <xf numFmtId="173" fontId="22" fillId="2" borderId="4" xfId="0" applyNumberFormat="1" applyFont="1" applyFill="1" applyBorder="1" applyAlignment="1">
      <alignment horizontal="right"/>
    </xf>
    <xf numFmtId="166" fontId="22" fillId="0" borderId="40" xfId="0" applyNumberFormat="1" applyFont="1" applyFill="1" applyBorder="1" applyAlignment="1">
      <alignment horizontal="right"/>
    </xf>
    <xf numFmtId="173" fontId="23" fillId="0" borderId="33" xfId="0" applyNumberFormat="1" applyFont="1" applyFill="1" applyBorder="1" applyAlignment="1">
      <alignment horizontal="right"/>
    </xf>
    <xf numFmtId="166" fontId="22" fillId="2" borderId="1" xfId="0" applyNumberFormat="1" applyFont="1" applyFill="1" applyBorder="1" applyAlignment="1">
      <alignment horizontal="right"/>
    </xf>
    <xf numFmtId="166" fontId="22" fillId="2" borderId="4" xfId="0" applyNumberFormat="1" applyFont="1" applyFill="1" applyBorder="1" applyAlignment="1">
      <alignment horizontal="right"/>
    </xf>
    <xf numFmtId="49" fontId="22" fillId="2" borderId="1" xfId="0" applyNumberFormat="1" applyFont="1" applyFill="1" applyBorder="1" applyAlignment="1">
      <alignment horizontal="left"/>
    </xf>
    <xf numFmtId="173" fontId="22" fillId="2" borderId="1" xfId="0" applyNumberFormat="1" applyFont="1" applyFill="1" applyBorder="1" applyAlignment="1">
      <alignment horizontal="right"/>
    </xf>
    <xf numFmtId="173" fontId="23" fillId="0" borderId="8" xfId="0" applyNumberFormat="1" applyFont="1" applyFill="1" applyBorder="1" applyAlignment="1">
      <alignment horizontal="right"/>
    </xf>
    <xf numFmtId="0" fontId="20" fillId="0" borderId="0" xfId="0" applyFont="1"/>
    <xf numFmtId="0" fontId="23" fillId="0" borderId="0" xfId="0" applyNumberFormat="1" applyFont="1" applyFill="1" applyBorder="1" applyAlignment="1"/>
    <xf numFmtId="164" fontId="20" fillId="0" borderId="0" xfId="0" applyNumberFormat="1" applyFont="1" applyFill="1" applyBorder="1" applyAlignment="1"/>
    <xf numFmtId="171" fontId="19" fillId="2" borderId="1" xfId="0" applyNumberFormat="1" applyFont="1" applyFill="1" applyBorder="1" applyAlignment="1">
      <alignment horizontal="right"/>
    </xf>
    <xf numFmtId="172" fontId="19" fillId="2" borderId="1" xfId="0" applyNumberFormat="1" applyFont="1" applyFill="1" applyBorder="1" applyAlignment="1">
      <alignment horizontal="right"/>
    </xf>
    <xf numFmtId="171" fontId="22" fillId="0" borderId="1" xfId="0" applyNumberFormat="1" applyFont="1" applyFill="1" applyBorder="1" applyAlignment="1">
      <alignment horizontal="right"/>
    </xf>
    <xf numFmtId="165" fontId="20" fillId="0" borderId="0" xfId="0" applyNumberFormat="1" applyFont="1" applyFill="1" applyBorder="1" applyAlignment="1"/>
    <xf numFmtId="0" fontId="28" fillId="0" borderId="0" xfId="38" applyNumberFormat="1" applyFont="1" applyFill="1" applyBorder="1" applyAlignment="1"/>
    <xf numFmtId="49" fontId="19" fillId="0" borderId="40" xfId="38" applyNumberFormat="1" applyFont="1" applyFill="1" applyBorder="1" applyAlignment="1">
      <alignment horizontal="right"/>
    </xf>
    <xf numFmtId="49" fontId="19" fillId="0" borderId="40" xfId="38" applyNumberFormat="1" applyFont="1" applyFill="1" applyBorder="1" applyAlignment="1">
      <alignment horizontal="center"/>
    </xf>
    <xf numFmtId="49" fontId="19" fillId="0" borderId="40" xfId="38" applyNumberFormat="1" applyFont="1" applyFill="1" applyBorder="1" applyAlignment="1">
      <alignment horizontal="center" wrapText="1"/>
    </xf>
    <xf numFmtId="171" fontId="19" fillId="0" borderId="40" xfId="38" applyNumberFormat="1" applyFont="1" applyFill="1" applyBorder="1" applyAlignment="1">
      <alignment horizontal="right"/>
    </xf>
    <xf numFmtId="171" fontId="22" fillId="0" borderId="0" xfId="38" applyNumberFormat="1" applyFont="1" applyFill="1" applyBorder="1" applyAlignment="1">
      <alignment horizontal="right"/>
    </xf>
    <xf numFmtId="49" fontId="19" fillId="2" borderId="2" xfId="0" applyNumberFormat="1" applyFont="1" applyFill="1" applyBorder="1" applyAlignment="1">
      <alignment horizontal="center" vertical="center"/>
    </xf>
    <xf numFmtId="49" fontId="19" fillId="2" borderId="8" xfId="0" applyNumberFormat="1" applyFont="1" applyFill="1" applyBorder="1" applyAlignment="1">
      <alignment horizontal="center"/>
    </xf>
    <xf numFmtId="49" fontId="19" fillId="2" borderId="9" xfId="0" applyNumberFormat="1" applyFont="1" applyFill="1" applyBorder="1" applyAlignment="1">
      <alignment horizontal="center"/>
    </xf>
    <xf numFmtId="171" fontId="22" fillId="2" borderId="1" xfId="0" applyNumberFormat="1" applyFont="1" applyFill="1" applyBorder="1" applyAlignment="1">
      <alignment horizontal="right"/>
    </xf>
    <xf numFmtId="170" fontId="22" fillId="0" borderId="0" xfId="0" applyNumberFormat="1" applyFont="1" applyFill="1" applyBorder="1" applyAlignment="1">
      <alignment horizontal="right"/>
    </xf>
    <xf numFmtId="49" fontId="19" fillId="0" borderId="40" xfId="0" applyNumberFormat="1" applyFont="1" applyFill="1" applyBorder="1" applyAlignment="1">
      <alignment horizontal="center" wrapText="1"/>
    </xf>
    <xf numFmtId="49" fontId="19" fillId="0" borderId="40" xfId="0" applyNumberFormat="1" applyFont="1" applyFill="1" applyBorder="1" applyAlignment="1">
      <alignment horizontal="left"/>
    </xf>
    <xf numFmtId="170" fontId="19" fillId="0" borderId="40" xfId="0" applyNumberFormat="1" applyFont="1" applyFill="1" applyBorder="1" applyAlignment="1">
      <alignment horizontal="right"/>
    </xf>
    <xf numFmtId="171" fontId="19" fillId="0" borderId="40" xfId="0" applyNumberFormat="1" applyFont="1" applyFill="1" applyBorder="1" applyAlignment="1">
      <alignment horizontal="right"/>
    </xf>
    <xf numFmtId="0" fontId="22" fillId="0" borderId="0" xfId="0" applyNumberFormat="1" applyFont="1" applyFill="1" applyBorder="1" applyAlignment="1">
      <alignment vertical="center"/>
    </xf>
    <xf numFmtId="171" fontId="19" fillId="0" borderId="0" xfId="0" applyNumberFormat="1" applyFont="1" applyFill="1" applyAlignment="1">
      <alignment vertical="center"/>
    </xf>
    <xf numFmtId="49" fontId="19" fillId="2" borderId="1" xfId="0" applyNumberFormat="1" applyFont="1" applyFill="1" applyBorder="1" applyAlignment="1">
      <alignment horizontal="right" vertical="center" wrapText="1"/>
    </xf>
    <xf numFmtId="166" fontId="19" fillId="0" borderId="1" xfId="35" applyNumberFormat="1" applyFont="1" applyFill="1" applyBorder="1" applyAlignment="1">
      <alignment horizontal="right" vertical="center" wrapText="1"/>
    </xf>
    <xf numFmtId="49" fontId="19" fillId="0" borderId="1" xfId="0" applyNumberFormat="1" applyFont="1" applyFill="1" applyBorder="1" applyAlignment="1">
      <alignment horizontal="right" vertical="center" wrapText="1"/>
    </xf>
    <xf numFmtId="0" fontId="20" fillId="0" borderId="48" xfId="0" applyFont="1" applyBorder="1"/>
    <xf numFmtId="1" fontId="23" fillId="0" borderId="43" xfId="0" applyNumberFormat="1" applyFont="1" applyFill="1" applyBorder="1" applyAlignment="1">
      <alignment horizontal="right"/>
    </xf>
    <xf numFmtId="10" fontId="23" fillId="0" borderId="43" xfId="35" applyNumberFormat="1" applyFont="1" applyFill="1" applyBorder="1" applyAlignment="1">
      <alignment horizontal="right"/>
    </xf>
    <xf numFmtId="0" fontId="22" fillId="2" borderId="0" xfId="0" applyFont="1" applyFill="1" applyAlignment="1">
      <alignment horizontal="right" vertical="center"/>
    </xf>
    <xf numFmtId="166" fontId="22" fillId="0" borderId="0" xfId="35" applyNumberFormat="1" applyFont="1" applyFill="1" applyAlignment="1">
      <alignment horizontal="right" vertical="center"/>
    </xf>
    <xf numFmtId="166" fontId="19" fillId="2" borderId="32" xfId="0" applyNumberFormat="1" applyFont="1" applyFill="1" applyBorder="1" applyAlignment="1">
      <alignment horizontal="right"/>
    </xf>
    <xf numFmtId="166" fontId="25" fillId="0" borderId="41" xfId="0" applyNumberFormat="1" applyFont="1" applyBorder="1"/>
    <xf numFmtId="178" fontId="19" fillId="0" borderId="3" xfId="0" applyNumberFormat="1" applyFont="1" applyFill="1" applyBorder="1" applyAlignment="1">
      <alignment horizontal="center" vertical="center"/>
    </xf>
    <xf numFmtId="1" fontId="19" fillId="2" borderId="1" xfId="0" applyNumberFormat="1" applyFont="1" applyFill="1" applyBorder="1" applyAlignment="1">
      <alignment horizontal="right"/>
    </xf>
    <xf numFmtId="1" fontId="25" fillId="0" borderId="8" xfId="0" applyNumberFormat="1" applyFont="1" applyFill="1" applyBorder="1" applyAlignment="1">
      <alignment horizontal="right"/>
    </xf>
    <xf numFmtId="1" fontId="19" fillId="2" borderId="9" xfId="0" applyNumberFormat="1" applyFont="1" applyFill="1" applyBorder="1" applyAlignment="1">
      <alignment horizontal="right"/>
    </xf>
    <xf numFmtId="183" fontId="22" fillId="0" borderId="0" xfId="0" applyNumberFormat="1" applyFont="1" applyFill="1" applyBorder="1" applyAlignment="1">
      <alignment horizontal="right"/>
    </xf>
    <xf numFmtId="176" fontId="22" fillId="0" borderId="0" xfId="0" applyNumberFormat="1" applyFont="1" applyFill="1" applyBorder="1" applyAlignment="1">
      <alignment horizontal="right"/>
    </xf>
    <xf numFmtId="172" fontId="22" fillId="0" borderId="0" xfId="0" applyNumberFormat="1" applyFont="1" applyFill="1" applyBorder="1" applyAlignment="1">
      <alignment horizontal="right"/>
    </xf>
    <xf numFmtId="176" fontId="22" fillId="2" borderId="1" xfId="0" applyNumberFormat="1" applyFont="1" applyFill="1" applyBorder="1" applyAlignment="1">
      <alignment horizontal="right"/>
    </xf>
    <xf numFmtId="0" fontId="19" fillId="0" borderId="0" xfId="38" applyFont="1" applyFill="1" applyAlignment="1">
      <alignment vertical="center"/>
    </xf>
    <xf numFmtId="170" fontId="19" fillId="0" borderId="0" xfId="0" applyNumberFormat="1" applyFont="1" applyFill="1" applyAlignment="1">
      <alignment vertical="center"/>
    </xf>
    <xf numFmtId="1" fontId="19" fillId="0" borderId="0" xfId="0" applyNumberFormat="1" applyFont="1" applyFill="1" applyAlignment="1">
      <alignment vertical="center"/>
    </xf>
    <xf numFmtId="49" fontId="22" fillId="0" borderId="0" xfId="0" applyNumberFormat="1" applyFont="1" applyFill="1" applyAlignment="1">
      <alignment horizontal="left"/>
    </xf>
    <xf numFmtId="49" fontId="19" fillId="0" borderId="54" xfId="0" applyNumberFormat="1" applyFont="1" applyFill="1" applyBorder="1" applyAlignment="1">
      <alignment horizontal="center" vertical="center" wrapText="1"/>
    </xf>
    <xf numFmtId="49" fontId="23" fillId="0" borderId="0" xfId="0" applyNumberFormat="1" applyFont="1" applyFill="1" applyAlignment="1">
      <alignment horizontal="left" wrapText="1"/>
    </xf>
    <xf numFmtId="49" fontId="22" fillId="2" borderId="0" xfId="0" applyNumberFormat="1" applyFont="1" applyFill="1" applyAlignment="1">
      <alignment horizontal="left" wrapText="1"/>
    </xf>
    <xf numFmtId="0" fontId="19" fillId="0" borderId="43" xfId="38" applyFont="1" applyFill="1" applyBorder="1" applyAlignment="1">
      <alignment horizontal="center" vertical="center" wrapText="1"/>
    </xf>
    <xf numFmtId="49" fontId="22" fillId="0" borderId="43" xfId="38" applyNumberFormat="1" applyFont="1" applyFill="1" applyBorder="1" applyAlignment="1">
      <alignment horizontal="center" vertical="center" wrapText="1"/>
    </xf>
    <xf numFmtId="15" fontId="20" fillId="0" borderId="43" xfId="0" applyNumberFormat="1" applyFont="1" applyBorder="1" applyAlignment="1">
      <alignment horizontal="center" vertical="top"/>
    </xf>
    <xf numFmtId="0" fontId="20" fillId="0" borderId="43" xfId="10" applyFont="1" applyBorder="1" applyAlignment="1">
      <alignment horizontal="left" vertical="top" wrapText="1"/>
    </xf>
    <xf numFmtId="0" fontId="20" fillId="0" borderId="43" xfId="0" applyNumberFormat="1" applyFont="1" applyBorder="1" applyAlignment="1">
      <alignment horizontal="right" vertical="top"/>
    </xf>
    <xf numFmtId="166" fontId="20" fillId="0" borderId="43" xfId="0" applyNumberFormat="1" applyFont="1" applyBorder="1" applyAlignment="1">
      <alignment horizontal="right" vertical="top"/>
    </xf>
    <xf numFmtId="0" fontId="20" fillId="0" borderId="43" xfId="0" applyFont="1" applyFill="1" applyBorder="1" applyAlignment="1">
      <alignment horizontal="left" vertical="top" wrapText="1"/>
    </xf>
    <xf numFmtId="49" fontId="19" fillId="2" borderId="32" xfId="38" applyNumberFormat="1" applyFont="1" applyFill="1" applyBorder="1" applyAlignment="1">
      <alignment horizontal="left"/>
    </xf>
    <xf numFmtId="165" fontId="22" fillId="0" borderId="43" xfId="38" applyNumberFormat="1" applyFont="1" applyFill="1" applyBorder="1" applyAlignment="1">
      <alignment horizontal="right"/>
    </xf>
    <xf numFmtId="168" fontId="22" fillId="0" borderId="43" xfId="38" applyNumberFormat="1" applyFont="1" applyFill="1" applyBorder="1" applyAlignment="1">
      <alignment horizontal="right"/>
    </xf>
    <xf numFmtId="0" fontId="22" fillId="2" borderId="43" xfId="38" applyFont="1" applyFill="1" applyBorder="1" applyAlignment="1">
      <alignment horizontal="right"/>
    </xf>
    <xf numFmtId="165" fontId="22" fillId="2" borderId="43" xfId="38" applyNumberFormat="1" applyFont="1" applyFill="1" applyBorder="1" applyAlignment="1">
      <alignment horizontal="right"/>
    </xf>
    <xf numFmtId="168" fontId="22" fillId="2" borderId="43" xfId="38" applyNumberFormat="1" applyFont="1" applyFill="1" applyBorder="1" applyAlignment="1">
      <alignment horizontal="right"/>
    </xf>
    <xf numFmtId="178" fontId="22" fillId="0" borderId="43" xfId="0" applyNumberFormat="1" applyFont="1" applyFill="1" applyBorder="1" applyAlignment="1">
      <alignment horizontal="left" vertical="center"/>
    </xf>
    <xf numFmtId="165" fontId="22" fillId="0" borderId="43" xfId="0" applyNumberFormat="1" applyFont="1" applyFill="1" applyBorder="1" applyAlignment="1">
      <alignment horizontal="right"/>
    </xf>
    <xf numFmtId="0" fontId="22" fillId="0" borderId="43" xfId="0" applyFont="1" applyFill="1" applyBorder="1" applyAlignment="1">
      <alignment horizontal="right"/>
    </xf>
    <xf numFmtId="168" fontId="22" fillId="0" borderId="43" xfId="0" applyNumberFormat="1" applyFont="1" applyFill="1" applyBorder="1" applyAlignment="1">
      <alignment horizontal="right"/>
    </xf>
    <xf numFmtId="1" fontId="22" fillId="0" borderId="43" xfId="0" applyNumberFormat="1" applyFont="1" applyFill="1" applyBorder="1" applyAlignment="1">
      <alignment horizontal="right"/>
    </xf>
    <xf numFmtId="178" fontId="23" fillId="0" borderId="43" xfId="0" applyNumberFormat="1" applyFont="1" applyFill="1" applyBorder="1" applyAlignment="1">
      <alignment horizontal="left" vertical="center"/>
    </xf>
    <xf numFmtId="165" fontId="23" fillId="0" borderId="43" xfId="0" applyNumberFormat="1" applyFont="1" applyFill="1" applyBorder="1" applyAlignment="1">
      <alignment horizontal="right"/>
    </xf>
    <xf numFmtId="0" fontId="23" fillId="0" borderId="43" xfId="0" applyFont="1" applyFill="1" applyBorder="1" applyAlignment="1">
      <alignment horizontal="right"/>
    </xf>
    <xf numFmtId="168" fontId="23" fillId="0" borderId="43" xfId="0" applyNumberFormat="1" applyFont="1" applyFill="1" applyBorder="1" applyAlignment="1">
      <alignment horizontal="right"/>
    </xf>
    <xf numFmtId="165" fontId="22" fillId="0" borderId="43" xfId="0" applyNumberFormat="1" applyFont="1" applyFill="1" applyBorder="1" applyAlignment="1">
      <alignment horizontal="right" vertical="center"/>
    </xf>
    <xf numFmtId="186" fontId="22" fillId="0" borderId="43" xfId="0" applyNumberFormat="1" applyFont="1" applyFill="1" applyBorder="1" applyAlignment="1">
      <alignment horizontal="right" vertical="center"/>
    </xf>
    <xf numFmtId="49" fontId="25" fillId="0" borderId="32" xfId="0" applyNumberFormat="1" applyFont="1" applyFill="1" applyBorder="1" applyAlignment="1">
      <alignment horizontal="left" vertical="center"/>
    </xf>
    <xf numFmtId="165" fontId="25" fillId="0" borderId="54" xfId="0" applyNumberFormat="1" applyFont="1" applyFill="1" applyBorder="1" applyAlignment="1">
      <alignment horizontal="right"/>
    </xf>
    <xf numFmtId="49" fontId="19" fillId="0" borderId="43" xfId="0" applyNumberFormat="1" applyFont="1" applyFill="1" applyBorder="1" applyAlignment="1">
      <alignment horizontal="left" vertical="center"/>
    </xf>
    <xf numFmtId="3" fontId="19" fillId="0" borderId="43" xfId="0" applyNumberFormat="1" applyFont="1" applyFill="1" applyBorder="1" applyAlignment="1">
      <alignment horizontal="right" vertical="center"/>
    </xf>
    <xf numFmtId="165" fontId="19" fillId="0" borderId="43" xfId="0" applyNumberFormat="1" applyFont="1" applyFill="1" applyBorder="1" applyAlignment="1">
      <alignment horizontal="right"/>
    </xf>
    <xf numFmtId="3" fontId="22" fillId="0" borderId="43" xfId="0" applyNumberFormat="1" applyFont="1" applyFill="1" applyBorder="1" applyAlignment="1">
      <alignment horizontal="right" vertical="center"/>
    </xf>
    <xf numFmtId="49" fontId="19" fillId="0" borderId="32" xfId="0" applyNumberFormat="1" applyFont="1" applyFill="1" applyBorder="1" applyAlignment="1">
      <alignment horizontal="left"/>
    </xf>
    <xf numFmtId="3" fontId="19" fillId="0" borderId="32" xfId="0" applyNumberFormat="1" applyFont="1" applyFill="1" applyBorder="1" applyAlignment="1">
      <alignment horizontal="right"/>
    </xf>
    <xf numFmtId="49" fontId="22" fillId="0" borderId="43" xfId="0" applyNumberFormat="1" applyFont="1" applyFill="1" applyBorder="1" applyAlignment="1">
      <alignment horizontal="left"/>
    </xf>
    <xf numFmtId="3" fontId="22" fillId="0" borderId="43" xfId="0" applyNumberFormat="1" applyFont="1" applyFill="1" applyBorder="1" applyAlignment="1">
      <alignment horizontal="right"/>
    </xf>
    <xf numFmtId="49" fontId="19" fillId="0" borderId="32" xfId="38" applyNumberFormat="1" applyFont="1" applyFill="1" applyBorder="1" applyAlignment="1">
      <alignment horizontal="left" vertical="center"/>
    </xf>
    <xf numFmtId="168" fontId="19" fillId="0" borderId="32" xfId="38" applyNumberFormat="1" applyFont="1" applyFill="1" applyBorder="1" applyAlignment="1">
      <alignment horizontal="right"/>
    </xf>
    <xf numFmtId="3" fontId="22" fillId="0" borderId="43" xfId="38" applyNumberFormat="1" applyFont="1" applyFill="1" applyBorder="1" applyAlignment="1">
      <alignment horizontal="right"/>
    </xf>
    <xf numFmtId="0" fontId="23" fillId="0" borderId="43" xfId="38" applyFont="1" applyFill="1" applyBorder="1" applyAlignment="1">
      <alignment horizontal="right"/>
    </xf>
    <xf numFmtId="170" fontId="22" fillId="0" borderId="43" xfId="0" applyNumberFormat="1" applyFont="1" applyFill="1" applyBorder="1" applyAlignment="1">
      <alignment horizontal="right"/>
    </xf>
    <xf numFmtId="49" fontId="19" fillId="2" borderId="27" xfId="0" applyNumberFormat="1" applyFont="1" applyFill="1" applyBorder="1" applyAlignment="1">
      <alignment horizontal="center" vertical="center"/>
    </xf>
    <xf numFmtId="49" fontId="19" fillId="2" borderId="32" xfId="0" applyNumberFormat="1" applyFont="1" applyFill="1" applyBorder="1" applyAlignment="1">
      <alignment horizontal="center" vertical="center" wrapText="1"/>
    </xf>
    <xf numFmtId="49" fontId="19" fillId="2" borderId="32" xfId="0" applyNumberFormat="1" applyFont="1" applyFill="1" applyBorder="1" applyAlignment="1">
      <alignment horizontal="center" wrapText="1"/>
    </xf>
    <xf numFmtId="49" fontId="19" fillId="2" borderId="43" xfId="0" applyNumberFormat="1" applyFont="1" applyFill="1" applyBorder="1" applyAlignment="1">
      <alignment horizontal="left"/>
    </xf>
    <xf numFmtId="165" fontId="19" fillId="2" borderId="43" xfId="0" applyNumberFormat="1" applyFont="1" applyFill="1" applyBorder="1" applyAlignment="1">
      <alignment horizontal="right"/>
    </xf>
    <xf numFmtId="171" fontId="19" fillId="2" borderId="43" xfId="0" applyNumberFormat="1" applyFont="1" applyFill="1" applyBorder="1" applyAlignment="1">
      <alignment horizontal="right"/>
    </xf>
    <xf numFmtId="3" fontId="19" fillId="2" borderId="43" xfId="0" applyNumberFormat="1" applyFont="1" applyFill="1" applyBorder="1" applyAlignment="1">
      <alignment horizontal="right"/>
    </xf>
    <xf numFmtId="49" fontId="19" fillId="0" borderId="43" xfId="0" applyNumberFormat="1" applyFont="1" applyFill="1" applyBorder="1" applyAlignment="1">
      <alignment horizontal="left"/>
    </xf>
    <xf numFmtId="171" fontId="22" fillId="0" borderId="43" xfId="0" applyNumberFormat="1" applyFont="1" applyFill="1" applyBorder="1" applyAlignment="1">
      <alignment horizontal="right"/>
    </xf>
    <xf numFmtId="49" fontId="22" fillId="2" borderId="43" xfId="0" applyNumberFormat="1" applyFont="1" applyFill="1" applyBorder="1" applyAlignment="1">
      <alignment horizontal="left"/>
    </xf>
    <xf numFmtId="165" fontId="22" fillId="2" borderId="43" xfId="0" applyNumberFormat="1" applyFont="1" applyFill="1" applyBorder="1" applyAlignment="1">
      <alignment horizontal="right"/>
    </xf>
    <xf numFmtId="171" fontId="22" fillId="2" borderId="43" xfId="0" applyNumberFormat="1" applyFont="1" applyFill="1" applyBorder="1" applyAlignment="1">
      <alignment horizontal="right"/>
    </xf>
    <xf numFmtId="3" fontId="22" fillId="2" borderId="43" xfId="0" applyNumberFormat="1" applyFont="1" applyFill="1" applyBorder="1" applyAlignment="1">
      <alignment horizontal="right"/>
    </xf>
    <xf numFmtId="49" fontId="22" fillId="0" borderId="0" xfId="38" applyNumberFormat="1" applyFont="1" applyFill="1" applyBorder="1" applyAlignment="1">
      <alignment horizontal="left"/>
    </xf>
    <xf numFmtId="49" fontId="19" fillId="0" borderId="32" xfId="0" applyNumberFormat="1" applyFont="1" applyFill="1" applyBorder="1" applyAlignment="1">
      <alignment horizontal="center" vertical="center" wrapText="1"/>
    </xf>
    <xf numFmtId="0" fontId="19" fillId="0" borderId="43" xfId="0" applyFont="1" applyFill="1" applyBorder="1" applyAlignment="1">
      <alignment horizontal="right"/>
    </xf>
    <xf numFmtId="171" fontId="19" fillId="0" borderId="43" xfId="0" applyNumberFormat="1" applyFont="1" applyFill="1" applyBorder="1" applyAlignment="1">
      <alignment horizontal="right"/>
    </xf>
    <xf numFmtId="172" fontId="19" fillId="0" borderId="43" xfId="0" applyNumberFormat="1" applyFont="1" applyFill="1" applyBorder="1" applyAlignment="1">
      <alignment horizontal="right"/>
    </xf>
    <xf numFmtId="172" fontId="22" fillId="0" borderId="43" xfId="0" applyNumberFormat="1" applyFont="1" applyFill="1" applyBorder="1" applyAlignment="1">
      <alignment horizontal="right"/>
    </xf>
    <xf numFmtId="0" fontId="19" fillId="2" borderId="43" xfId="0" applyFont="1" applyFill="1" applyBorder="1" applyAlignment="1">
      <alignment horizontal="right"/>
    </xf>
    <xf numFmtId="172" fontId="19" fillId="2" borderId="43" xfId="0" applyNumberFormat="1" applyFont="1" applyFill="1" applyBorder="1" applyAlignment="1">
      <alignment horizontal="right"/>
    </xf>
    <xf numFmtId="0" fontId="20" fillId="0" borderId="43" xfId="0" applyFont="1" applyFill="1" applyBorder="1"/>
    <xf numFmtId="172" fontId="22" fillId="2" borderId="43" xfId="0" applyNumberFormat="1" applyFont="1" applyFill="1" applyBorder="1" applyAlignment="1">
      <alignment horizontal="right"/>
    </xf>
    <xf numFmtId="3" fontId="23" fillId="0" borderId="43" xfId="25" applyNumberFormat="1" applyFont="1" applyFill="1" applyBorder="1" applyAlignment="1">
      <alignment horizontal="right" vertical="center"/>
    </xf>
    <xf numFmtId="1" fontId="23" fillId="0" borderId="43" xfId="34" applyNumberFormat="1" applyFont="1" applyFill="1" applyBorder="1" applyAlignment="1">
      <alignment horizontal="right" vertical="center" wrapText="1"/>
    </xf>
    <xf numFmtId="181" fontId="23" fillId="0" borderId="43" xfId="1" quotePrefix="1" applyNumberFormat="1" applyFont="1" applyFill="1" applyBorder="1" applyAlignment="1">
      <alignment horizontal="right"/>
    </xf>
    <xf numFmtId="180" fontId="23" fillId="0" borderId="43" xfId="4" applyNumberFormat="1" applyFont="1" applyFill="1" applyBorder="1">
      <alignment horizontal="right"/>
    </xf>
    <xf numFmtId="165" fontId="23" fillId="0" borderId="43" xfId="1" applyNumberFormat="1" applyFont="1" applyFill="1" applyBorder="1" applyAlignment="1">
      <alignment horizontal="right"/>
    </xf>
    <xf numFmtId="181" fontId="23" fillId="0" borderId="43" xfId="4" applyNumberFormat="1" applyFont="1" applyFill="1" applyBorder="1">
      <alignment horizontal="right"/>
    </xf>
    <xf numFmtId="181" fontId="23" fillId="0" borderId="43" xfId="25" applyNumberFormat="1" applyFont="1" applyFill="1" applyBorder="1" applyAlignment="1">
      <alignment horizontal="right" vertical="center"/>
    </xf>
    <xf numFmtId="173" fontId="23" fillId="0" borderId="0" xfId="0" applyNumberFormat="1" applyFont="1" applyFill="1" applyBorder="1" applyAlignment="1">
      <alignment horizontal="right"/>
    </xf>
    <xf numFmtId="166" fontId="22" fillId="0" borderId="0" xfId="0" applyNumberFormat="1" applyFont="1" applyFill="1" applyBorder="1" applyAlignment="1">
      <alignment horizontal="right"/>
    </xf>
    <xf numFmtId="166" fontId="20" fillId="0" borderId="43" xfId="0" applyNumberFormat="1" applyFont="1" applyBorder="1"/>
    <xf numFmtId="166" fontId="23" fillId="0" borderId="43" xfId="1" applyNumberFormat="1" applyFont="1" applyBorder="1"/>
    <xf numFmtId="166" fontId="22" fillId="2" borderId="43" xfId="0" applyNumberFormat="1" applyFont="1" applyFill="1" applyBorder="1" applyAlignment="1">
      <alignment horizontal="right" vertical="center" wrapText="1"/>
    </xf>
    <xf numFmtId="49" fontId="23" fillId="0" borderId="43" xfId="0" applyNumberFormat="1" applyFont="1" applyFill="1" applyBorder="1" applyAlignment="1">
      <alignment horizontal="left"/>
    </xf>
    <xf numFmtId="49" fontId="19" fillId="2" borderId="53" xfId="0" applyNumberFormat="1" applyFont="1" applyFill="1" applyBorder="1" applyAlignment="1">
      <alignment horizontal="left"/>
    </xf>
    <xf numFmtId="166" fontId="19" fillId="0" borderId="47" xfId="0" applyNumberFormat="1" applyFont="1" applyFill="1" applyBorder="1" applyAlignment="1">
      <alignment horizontal="right"/>
    </xf>
    <xf numFmtId="166" fontId="22" fillId="0" borderId="43" xfId="0" applyNumberFormat="1" applyFont="1" applyFill="1" applyBorder="1" applyAlignment="1">
      <alignment horizontal="right"/>
    </xf>
    <xf numFmtId="2" fontId="20" fillId="0" borderId="43" xfId="0" applyNumberFormat="1" applyFont="1" applyBorder="1"/>
    <xf numFmtId="164" fontId="23" fillId="0" borderId="43" xfId="0" applyNumberFormat="1" applyFont="1" applyFill="1" applyBorder="1" applyAlignment="1">
      <alignment horizontal="right"/>
    </xf>
    <xf numFmtId="2" fontId="23" fillId="0" borderId="43" xfId="0" applyNumberFormat="1" applyFont="1" applyFill="1" applyBorder="1" applyAlignment="1">
      <alignment horizontal="right"/>
    </xf>
    <xf numFmtId="49" fontId="19" fillId="2" borderId="42" xfId="0" applyNumberFormat="1" applyFont="1" applyFill="1" applyBorder="1" applyAlignment="1">
      <alignment horizontal="center" vertical="center" wrapText="1"/>
    </xf>
    <xf numFmtId="174" fontId="19" fillId="2" borderId="43" xfId="0" applyNumberFormat="1" applyFont="1" applyFill="1" applyBorder="1" applyAlignment="1">
      <alignment horizontal="right"/>
    </xf>
    <xf numFmtId="167" fontId="19" fillId="2" borderId="43" xfId="0" applyNumberFormat="1" applyFont="1" applyFill="1" applyBorder="1" applyAlignment="1">
      <alignment horizontal="right"/>
    </xf>
    <xf numFmtId="174" fontId="22" fillId="0" borderId="43" xfId="0" applyNumberFormat="1" applyFont="1" applyFill="1" applyBorder="1" applyAlignment="1">
      <alignment horizontal="right"/>
    </xf>
    <xf numFmtId="174" fontId="22" fillId="2" borderId="43" xfId="0" applyNumberFormat="1" applyFont="1" applyFill="1" applyBorder="1" applyAlignment="1">
      <alignment horizontal="right"/>
    </xf>
    <xf numFmtId="167" fontId="22" fillId="2" borderId="43" xfId="0" applyNumberFormat="1" applyFont="1" applyFill="1" applyBorder="1" applyAlignment="1">
      <alignment horizontal="right"/>
    </xf>
    <xf numFmtId="176" fontId="22" fillId="0" borderId="43" xfId="0" applyNumberFormat="1" applyFont="1" applyFill="1" applyBorder="1" applyAlignment="1">
      <alignment horizontal="right"/>
    </xf>
    <xf numFmtId="167" fontId="22" fillId="0" borderId="43" xfId="0" applyNumberFormat="1" applyFont="1" applyFill="1" applyBorder="1" applyAlignment="1">
      <alignment horizontal="right"/>
    </xf>
    <xf numFmtId="49" fontId="19" fillId="2" borderId="42" xfId="0" applyNumberFormat="1" applyFont="1" applyFill="1" applyBorder="1" applyAlignment="1">
      <alignment horizontal="left"/>
    </xf>
    <xf numFmtId="167" fontId="19" fillId="0" borderId="42" xfId="0" applyNumberFormat="1" applyFont="1" applyFill="1" applyBorder="1" applyAlignment="1">
      <alignment horizontal="right"/>
    </xf>
    <xf numFmtId="167" fontId="19" fillId="2" borderId="42" xfId="0" applyNumberFormat="1" applyFont="1" applyFill="1" applyBorder="1" applyAlignment="1">
      <alignment horizontal="right"/>
    </xf>
    <xf numFmtId="167" fontId="20" fillId="0" borderId="43" xfId="0" applyNumberFormat="1" applyFont="1" applyFill="1" applyBorder="1"/>
    <xf numFmtId="182" fontId="34" fillId="0" borderId="43" xfId="54" applyNumberFormat="1" applyFont="1" applyFill="1" applyBorder="1" applyAlignment="1">
      <alignment horizontal="right"/>
    </xf>
    <xf numFmtId="49" fontId="22" fillId="0" borderId="38" xfId="0" applyNumberFormat="1" applyFont="1" applyFill="1" applyBorder="1" applyAlignment="1">
      <alignment horizontal="left"/>
    </xf>
    <xf numFmtId="178" fontId="22" fillId="0" borderId="26" xfId="0" applyNumberFormat="1" applyFont="1" applyFill="1" applyBorder="1" applyAlignment="1">
      <alignment horizontal="left" vertical="center"/>
    </xf>
    <xf numFmtId="173" fontId="22" fillId="0" borderId="43" xfId="0" applyNumberFormat="1" applyFont="1" applyFill="1" applyBorder="1" applyAlignment="1">
      <alignment horizontal="right"/>
    </xf>
    <xf numFmtId="166" fontId="22" fillId="0" borderId="43" xfId="0" applyNumberFormat="1" applyFont="1" applyFill="1" applyBorder="1" applyAlignment="1">
      <alignment vertical="center"/>
    </xf>
    <xf numFmtId="49" fontId="19" fillId="0" borderId="38" xfId="0" applyNumberFormat="1" applyFont="1" applyFill="1" applyBorder="1" applyAlignment="1">
      <alignment horizontal="left"/>
    </xf>
    <xf numFmtId="178" fontId="22" fillId="0" borderId="44" xfId="0" applyNumberFormat="1" applyFont="1" applyFill="1" applyBorder="1" applyAlignment="1">
      <alignment horizontal="left" vertical="center"/>
    </xf>
    <xf numFmtId="173" fontId="19" fillId="0" borderId="43" xfId="0" applyNumberFormat="1" applyFont="1" applyFill="1" applyBorder="1" applyAlignment="1">
      <alignment horizontal="right"/>
    </xf>
    <xf numFmtId="166" fontId="19" fillId="0" borderId="43" xfId="0" applyNumberFormat="1" applyFont="1" applyFill="1" applyBorder="1" applyAlignment="1">
      <alignment horizontal="right"/>
    </xf>
    <xf numFmtId="182" fontId="23" fillId="0" borderId="43" xfId="1" applyNumberFormat="1" applyFont="1" applyFill="1" applyBorder="1" applyAlignment="1"/>
    <xf numFmtId="49" fontId="19" fillId="0" borderId="59" xfId="0" applyNumberFormat="1" applyFont="1" applyFill="1" applyBorder="1" applyAlignment="1">
      <alignment horizontal="left"/>
    </xf>
    <xf numFmtId="49" fontId="22" fillId="0" borderId="59" xfId="0" applyNumberFormat="1" applyFont="1" applyFill="1" applyBorder="1" applyAlignment="1">
      <alignment horizontal="left"/>
    </xf>
    <xf numFmtId="178" fontId="22" fillId="0" borderId="60" xfId="0" applyNumberFormat="1" applyFont="1" applyFill="1" applyBorder="1" applyAlignment="1">
      <alignment horizontal="left" vertical="center"/>
    </xf>
    <xf numFmtId="178" fontId="22" fillId="0" borderId="61" xfId="0" applyNumberFormat="1" applyFont="1" applyFill="1" applyBorder="1" applyAlignment="1">
      <alignment horizontal="left" vertical="center"/>
    </xf>
    <xf numFmtId="49" fontId="22" fillId="0" borderId="60" xfId="0" applyNumberFormat="1" applyFont="1" applyFill="1" applyBorder="1" applyAlignment="1">
      <alignment horizontal="left"/>
    </xf>
    <xf numFmtId="166" fontId="35" fillId="0" borderId="43" xfId="12" applyNumberFormat="1" applyFont="1" applyBorder="1"/>
    <xf numFmtId="49" fontId="22" fillId="0" borderId="43" xfId="38" applyNumberFormat="1" applyFont="1" applyFill="1" applyBorder="1" applyAlignment="1">
      <alignment horizontal="left"/>
    </xf>
    <xf numFmtId="171" fontId="22" fillId="0" borderId="43" xfId="38" applyNumberFormat="1" applyFont="1" applyFill="1" applyBorder="1" applyAlignment="1">
      <alignment horizontal="right"/>
    </xf>
    <xf numFmtId="49" fontId="19" fillId="0" borderId="64" xfId="38" applyNumberFormat="1" applyFont="1" applyFill="1" applyBorder="1" applyAlignment="1">
      <alignment horizontal="left"/>
    </xf>
    <xf numFmtId="165" fontId="19" fillId="0" borderId="64" xfId="38" applyNumberFormat="1" applyFont="1" applyFill="1" applyBorder="1" applyAlignment="1">
      <alignment horizontal="right"/>
    </xf>
    <xf numFmtId="49" fontId="19" fillId="0" borderId="65" xfId="0" applyNumberFormat="1" applyFont="1" applyFill="1" applyBorder="1" applyAlignment="1">
      <alignment horizontal="center" vertical="center" wrapText="1"/>
    </xf>
    <xf numFmtId="49" fontId="19" fillId="2" borderId="65" xfId="0" applyNumberFormat="1" applyFont="1" applyFill="1" applyBorder="1" applyAlignment="1">
      <alignment horizontal="left"/>
    </xf>
    <xf numFmtId="165" fontId="19" fillId="2" borderId="65" xfId="0" applyNumberFormat="1" applyFont="1" applyFill="1" applyBorder="1" applyAlignment="1">
      <alignment horizontal="right"/>
    </xf>
    <xf numFmtId="175" fontId="19" fillId="2" borderId="65" xfId="0" applyNumberFormat="1" applyFont="1" applyFill="1" applyBorder="1" applyAlignment="1">
      <alignment horizontal="right"/>
    </xf>
    <xf numFmtId="165" fontId="19" fillId="0" borderId="65" xfId="0" applyNumberFormat="1" applyFont="1" applyFill="1" applyBorder="1" applyAlignment="1">
      <alignment horizontal="right"/>
    </xf>
    <xf numFmtId="175" fontId="19" fillId="0" borderId="65" xfId="0" applyNumberFormat="1" applyFont="1" applyFill="1" applyBorder="1" applyAlignment="1">
      <alignment horizontal="right"/>
    </xf>
    <xf numFmtId="0" fontId="19" fillId="2" borderId="65" xfId="0" applyFont="1" applyFill="1" applyBorder="1" applyAlignment="1">
      <alignment horizontal="right"/>
    </xf>
    <xf numFmtId="167" fontId="19" fillId="2" borderId="65" xfId="0" applyNumberFormat="1" applyFont="1" applyFill="1" applyBorder="1" applyAlignment="1">
      <alignment horizontal="right"/>
    </xf>
    <xf numFmtId="49" fontId="22" fillId="2" borderId="65" xfId="0" applyNumberFormat="1" applyFont="1" applyFill="1" applyBorder="1" applyAlignment="1">
      <alignment horizontal="left"/>
    </xf>
    <xf numFmtId="165" fontId="22" fillId="2" borderId="65" xfId="0" applyNumberFormat="1" applyFont="1" applyFill="1" applyBorder="1" applyAlignment="1">
      <alignment horizontal="right"/>
    </xf>
    <xf numFmtId="175" fontId="22" fillId="2" borderId="65" xfId="0" applyNumberFormat="1" applyFont="1" applyFill="1" applyBorder="1" applyAlignment="1">
      <alignment horizontal="right"/>
    </xf>
    <xf numFmtId="165" fontId="22" fillId="0" borderId="65" xfId="0" applyNumberFormat="1" applyFont="1" applyFill="1" applyBorder="1" applyAlignment="1">
      <alignment horizontal="right"/>
    </xf>
    <xf numFmtId="175" fontId="22" fillId="0" borderId="65" xfId="0" applyNumberFormat="1" applyFont="1" applyFill="1" applyBorder="1" applyAlignment="1">
      <alignment horizontal="right"/>
    </xf>
    <xf numFmtId="0" fontId="22" fillId="2" borderId="65" xfId="0" applyFont="1" applyFill="1" applyBorder="1" applyAlignment="1">
      <alignment horizontal="right"/>
    </xf>
    <xf numFmtId="167" fontId="22" fillId="2" borderId="65" xfId="0" applyNumberFormat="1" applyFont="1" applyFill="1" applyBorder="1" applyAlignment="1">
      <alignment horizontal="right"/>
    </xf>
    <xf numFmtId="178" fontId="22" fillId="0" borderId="65" xfId="0" applyNumberFormat="1" applyFont="1" applyFill="1" applyBorder="1" applyAlignment="1">
      <alignment horizontal="left" vertical="center"/>
    </xf>
    <xf numFmtId="176" fontId="22" fillId="0" borderId="65" xfId="0" applyNumberFormat="1" applyFont="1" applyFill="1" applyBorder="1" applyAlignment="1">
      <alignment horizontal="right"/>
    </xf>
    <xf numFmtId="187" fontId="22" fillId="2" borderId="65" xfId="0" applyNumberFormat="1" applyFont="1" applyFill="1" applyBorder="1" applyAlignment="1">
      <alignment horizontal="right"/>
    </xf>
    <xf numFmtId="175" fontId="22" fillId="2" borderId="0" xfId="0" applyNumberFormat="1" applyFont="1" applyFill="1" applyAlignment="1">
      <alignment vertical="center"/>
    </xf>
    <xf numFmtId="176" fontId="22" fillId="2" borderId="0" xfId="0" applyNumberFormat="1" applyFont="1" applyFill="1" applyAlignment="1">
      <alignment vertical="center"/>
    </xf>
    <xf numFmtId="172" fontId="19" fillId="0" borderId="40" xfId="38" applyNumberFormat="1" applyFont="1" applyFill="1" applyBorder="1" applyAlignment="1">
      <alignment horizontal="right"/>
    </xf>
    <xf numFmtId="49" fontId="23" fillId="0" borderId="43" xfId="38" applyNumberFormat="1" applyFont="1" applyFill="1" applyBorder="1" applyAlignment="1">
      <alignment horizontal="left"/>
    </xf>
    <xf numFmtId="165" fontId="23" fillId="0" borderId="43" xfId="38" applyNumberFormat="1" applyFont="1" applyFill="1" applyBorder="1" applyAlignment="1">
      <alignment horizontal="right"/>
    </xf>
    <xf numFmtId="171" fontId="23" fillId="0" borderId="43" xfId="38" applyNumberFormat="1" applyFont="1" applyFill="1" applyBorder="1" applyAlignment="1">
      <alignment horizontal="right"/>
    </xf>
    <xf numFmtId="0" fontId="23" fillId="0" borderId="0" xfId="38" applyNumberFormat="1" applyFont="1" applyFill="1" applyBorder="1" applyAlignment="1"/>
    <xf numFmtId="0" fontId="23" fillId="0" borderId="0" xfId="38" applyFont="1" applyFill="1" applyAlignment="1">
      <alignment vertical="center"/>
    </xf>
    <xf numFmtId="0" fontId="25" fillId="0" borderId="0" xfId="38" applyFont="1" applyFill="1" applyAlignment="1">
      <alignment vertical="center"/>
    </xf>
    <xf numFmtId="49" fontId="25" fillId="0" borderId="64" xfId="38" applyNumberFormat="1" applyFont="1" applyFill="1" applyBorder="1" applyAlignment="1">
      <alignment horizontal="left"/>
    </xf>
    <xf numFmtId="165" fontId="25" fillId="0" borderId="64" xfId="38" applyNumberFormat="1" applyFont="1" applyFill="1" applyBorder="1" applyAlignment="1">
      <alignment horizontal="right"/>
    </xf>
    <xf numFmtId="49" fontId="23" fillId="0" borderId="0" xfId="38" applyNumberFormat="1" applyFont="1" applyFill="1" applyBorder="1" applyAlignment="1">
      <alignment horizontal="left"/>
    </xf>
    <xf numFmtId="165" fontId="23" fillId="0" borderId="0" xfId="38" applyNumberFormat="1" applyFont="1" applyFill="1" applyBorder="1" applyAlignment="1">
      <alignment horizontal="right"/>
    </xf>
    <xf numFmtId="0" fontId="20" fillId="0" borderId="0" xfId="50" applyNumberFormat="1" applyFont="1" applyFill="1" applyBorder="1" applyAlignment="1"/>
    <xf numFmtId="49" fontId="19" fillId="0" borderId="66" xfId="50" applyNumberFormat="1" applyFont="1" applyFill="1" applyBorder="1" applyAlignment="1">
      <alignment horizontal="left"/>
    </xf>
    <xf numFmtId="3" fontId="19" fillId="0" borderId="66" xfId="50" applyNumberFormat="1" applyFont="1" applyFill="1" applyBorder="1" applyAlignment="1">
      <alignment horizontal="right"/>
    </xf>
    <xf numFmtId="3" fontId="22" fillId="0" borderId="66" xfId="50" applyNumberFormat="1" applyFont="1" applyFill="1" applyBorder="1" applyAlignment="1">
      <alignment horizontal="right"/>
    </xf>
    <xf numFmtId="3" fontId="22" fillId="0" borderId="66" xfId="1" applyNumberFormat="1" applyFont="1" applyFill="1" applyBorder="1" applyAlignment="1">
      <alignment horizontal="right"/>
    </xf>
    <xf numFmtId="3" fontId="20" fillId="0" borderId="0" xfId="50" applyNumberFormat="1" applyFont="1" applyFill="1" applyBorder="1" applyAlignment="1"/>
    <xf numFmtId="178" fontId="22" fillId="0" borderId="67" xfId="50" applyNumberFormat="1" applyFont="1" applyFill="1" applyBorder="1" applyAlignment="1">
      <alignment horizontal="left" vertical="center"/>
    </xf>
    <xf numFmtId="1" fontId="20" fillId="0" borderId="0" xfId="1" applyNumberFormat="1" applyFont="1" applyFill="1" applyBorder="1" applyAlignment="1"/>
    <xf numFmtId="0" fontId="20" fillId="0" borderId="0" xfId="49" applyNumberFormat="1" applyFont="1" applyFill="1" applyBorder="1" applyAlignment="1"/>
    <xf numFmtId="173" fontId="19" fillId="0" borderId="66" xfId="49" applyNumberFormat="1" applyFont="1" applyFill="1" applyBorder="1" applyAlignment="1">
      <alignment horizontal="right"/>
    </xf>
    <xf numFmtId="173" fontId="22" fillId="0" borderId="66" xfId="49" applyNumberFormat="1" applyFont="1" applyFill="1" applyBorder="1" applyAlignment="1">
      <alignment horizontal="right"/>
    </xf>
    <xf numFmtId="178" fontId="22" fillId="0" borderId="67" xfId="49" applyNumberFormat="1" applyFont="1" applyFill="1" applyBorder="1" applyAlignment="1">
      <alignment horizontal="left" vertical="center"/>
    </xf>
    <xf numFmtId="49" fontId="19" fillId="0" borderId="66" xfId="50" applyNumberFormat="1" applyFont="1" applyFill="1" applyBorder="1" applyAlignment="1">
      <alignment horizontal="center" vertical="center"/>
    </xf>
    <xf numFmtId="178" fontId="22" fillId="0" borderId="66" xfId="50" applyNumberFormat="1" applyFont="1" applyFill="1" applyBorder="1" applyAlignment="1">
      <alignment horizontal="left"/>
    </xf>
    <xf numFmtId="178" fontId="20" fillId="0" borderId="65" xfId="51" applyNumberFormat="1" applyFont="1" applyFill="1" applyBorder="1" applyAlignment="1">
      <alignment horizontal="left"/>
    </xf>
    <xf numFmtId="189" fontId="20" fillId="0" borderId="0" xfId="1" applyNumberFormat="1" applyFont="1" applyFill="1" applyBorder="1" applyAlignment="1"/>
    <xf numFmtId="165" fontId="20" fillId="0" borderId="0" xfId="50" applyNumberFormat="1" applyFont="1" applyFill="1" applyBorder="1" applyAlignment="1"/>
    <xf numFmtId="0" fontId="25" fillId="0" borderId="0" xfId="51" applyFont="1" applyFill="1"/>
    <xf numFmtId="0" fontId="23" fillId="0" borderId="0" xfId="51" applyFont="1" applyFill="1"/>
    <xf numFmtId="166" fontId="22" fillId="0" borderId="0" xfId="1" applyNumberFormat="1" applyFont="1" applyFill="1" applyAlignment="1">
      <alignment vertical="center"/>
    </xf>
    <xf numFmtId="0" fontId="21" fillId="0" borderId="0" xfId="50" applyFont="1" applyFill="1"/>
    <xf numFmtId="3" fontId="21" fillId="0" borderId="0" xfId="50" applyNumberFormat="1" applyFont="1" applyFill="1"/>
    <xf numFmtId="0" fontId="20" fillId="0" borderId="0" xfId="50" applyFont="1" applyFill="1"/>
    <xf numFmtId="0" fontId="20" fillId="0" borderId="0" xfId="10" applyFont="1" applyFill="1" applyBorder="1" applyAlignment="1">
      <alignment horizontal="left" vertical="center"/>
    </xf>
    <xf numFmtId="0" fontId="20" fillId="0" borderId="0" xfId="10" applyFont="1" applyFill="1" applyBorder="1" applyAlignment="1">
      <alignment vertical="center"/>
    </xf>
    <xf numFmtId="3" fontId="20" fillId="0" borderId="0" xfId="50" applyNumberFormat="1" applyFont="1" applyFill="1" applyBorder="1" applyAlignment="1">
      <alignment horizontal="right"/>
    </xf>
    <xf numFmtId="3" fontId="20" fillId="0" borderId="0" xfId="50" applyNumberFormat="1" applyFont="1" applyFill="1"/>
    <xf numFmtId="181" fontId="24" fillId="0" borderId="0" xfId="1" applyNumberFormat="1" applyFont="1" applyFill="1" applyBorder="1"/>
    <xf numFmtId="181" fontId="24" fillId="0" borderId="0" xfId="1" applyNumberFormat="1" applyFont="1" applyFill="1" applyBorder="1" applyAlignment="1">
      <alignment horizontal="right" wrapText="1"/>
    </xf>
    <xf numFmtId="181" fontId="26" fillId="0" borderId="0" xfId="1" applyNumberFormat="1" applyFont="1" applyFill="1" applyBorder="1" applyAlignment="1">
      <alignment horizontal="right" vertical="center" wrapText="1"/>
    </xf>
    <xf numFmtId="1" fontId="36" fillId="0" borderId="65" xfId="4" applyNumberFormat="1" applyFont="1" applyFill="1" applyBorder="1" applyAlignment="1">
      <alignment horizontal="right" vertical="top"/>
    </xf>
    <xf numFmtId="1" fontId="35" fillId="0" borderId="65" xfId="4" applyNumberFormat="1" applyFont="1" applyFill="1" applyBorder="1" applyAlignment="1">
      <alignment horizontal="right" vertical="top"/>
    </xf>
    <xf numFmtId="49" fontId="19" fillId="0" borderId="65" xfId="0" applyNumberFormat="1" applyFont="1" applyFill="1" applyBorder="1" applyAlignment="1">
      <alignment horizontal="center"/>
    </xf>
    <xf numFmtId="49" fontId="20" fillId="0" borderId="65" xfId="0" applyNumberFormat="1" applyFont="1" applyFill="1" applyBorder="1" applyAlignment="1">
      <alignment horizontal="left"/>
    </xf>
    <xf numFmtId="49" fontId="23" fillId="0" borderId="65" xfId="0" applyNumberFormat="1" applyFont="1" applyFill="1" applyBorder="1" applyAlignment="1">
      <alignment horizontal="left"/>
    </xf>
    <xf numFmtId="49" fontId="29" fillId="0" borderId="65" xfId="0" applyNumberFormat="1" applyFont="1" applyFill="1" applyBorder="1" applyAlignment="1">
      <alignment horizontal="left"/>
    </xf>
    <xf numFmtId="165" fontId="30" fillId="0" borderId="65" xfId="0" applyNumberFormat="1" applyFont="1" applyFill="1" applyBorder="1" applyAlignment="1">
      <alignment horizontal="right"/>
    </xf>
    <xf numFmtId="165" fontId="29" fillId="0" borderId="65" xfId="0" applyNumberFormat="1" applyFont="1" applyFill="1" applyBorder="1" applyAlignment="1">
      <alignment horizontal="right"/>
    </xf>
    <xf numFmtId="165" fontId="27" fillId="0" borderId="65" xfId="0" applyNumberFormat="1" applyFont="1" applyFill="1" applyBorder="1" applyAlignment="1">
      <alignment horizontal="right"/>
    </xf>
    <xf numFmtId="165" fontId="23" fillId="0" borderId="65" xfId="0" applyNumberFormat="1" applyFont="1" applyFill="1" applyBorder="1" applyAlignment="1">
      <alignment horizontal="right"/>
    </xf>
    <xf numFmtId="0" fontId="22" fillId="0" borderId="0" xfId="0" applyFont="1" applyFill="1" applyBorder="1" applyAlignment="1">
      <alignment vertical="center"/>
    </xf>
    <xf numFmtId="49" fontId="22" fillId="0" borderId="65" xfId="0" applyNumberFormat="1" applyFont="1" applyFill="1" applyBorder="1" applyAlignment="1">
      <alignment horizontal="left"/>
    </xf>
    <xf numFmtId="165" fontId="28" fillId="0" borderId="0" xfId="0" applyNumberFormat="1" applyFont="1" applyFill="1" applyBorder="1" applyAlignment="1">
      <alignment horizontal="right"/>
    </xf>
    <xf numFmtId="165" fontId="20" fillId="0" borderId="65" xfId="0" applyNumberFormat="1" applyFont="1" applyFill="1" applyBorder="1" applyAlignment="1">
      <alignment horizontal="right"/>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22" fillId="0" borderId="0" xfId="0" applyNumberFormat="1" applyFont="1" applyFill="1" applyAlignment="1">
      <alignment horizontal="left" wrapText="1"/>
    </xf>
    <xf numFmtId="49" fontId="19" fillId="0" borderId="0" xfId="0" applyNumberFormat="1" applyFont="1" applyFill="1" applyAlignment="1">
      <alignment horizontal="left" vertical="top"/>
    </xf>
    <xf numFmtId="49" fontId="22" fillId="2" borderId="0" xfId="0" applyNumberFormat="1" applyFont="1" applyFill="1" applyAlignment="1">
      <alignment horizontal="left"/>
    </xf>
    <xf numFmtId="49" fontId="19" fillId="0" borderId="0" xfId="0" applyNumberFormat="1" applyFont="1" applyFill="1" applyAlignment="1">
      <alignment horizontal="left" vertical="top" wrapText="1"/>
    </xf>
    <xf numFmtId="0" fontId="24" fillId="0" borderId="0" xfId="0" applyNumberFormat="1" applyFont="1" applyFill="1" applyBorder="1" applyAlignment="1">
      <alignment vertical="center"/>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19" fillId="0" borderId="0" xfId="0" applyNumberFormat="1" applyFont="1" applyFill="1" applyAlignment="1">
      <alignment horizontal="left" wrapText="1"/>
    </xf>
    <xf numFmtId="49" fontId="22" fillId="0" borderId="0" xfId="0" applyNumberFormat="1" applyFont="1" applyFill="1" applyAlignment="1">
      <alignment horizontal="left" wrapText="1"/>
    </xf>
    <xf numFmtId="0" fontId="22" fillId="0" borderId="0" xfId="0" applyFont="1" applyFill="1" applyAlignment="1">
      <alignment horizontal="left" wrapText="1"/>
    </xf>
    <xf numFmtId="49" fontId="19" fillId="0" borderId="0" xfId="0" applyNumberFormat="1" applyFont="1" applyFill="1" applyAlignment="1">
      <alignment horizontal="left" vertical="top"/>
    </xf>
    <xf numFmtId="0" fontId="20" fillId="0" borderId="0" xfId="0" applyNumberFormat="1" applyFont="1" applyFill="1" applyBorder="1" applyAlignment="1">
      <alignment vertical="center" wrapText="1"/>
    </xf>
    <xf numFmtId="49" fontId="19" fillId="0" borderId="0" xfId="0" applyNumberFormat="1" applyFont="1" applyFill="1" applyAlignment="1">
      <alignment horizontal="left" vertical="top" wrapText="1"/>
    </xf>
    <xf numFmtId="49" fontId="19" fillId="0" borderId="0" xfId="0" applyNumberFormat="1" applyFont="1" applyFill="1" applyAlignment="1">
      <alignment horizontal="left" vertical="center"/>
    </xf>
    <xf numFmtId="49" fontId="19" fillId="0" borderId="66" xfId="0" applyNumberFormat="1" applyFont="1" applyFill="1" applyBorder="1" applyAlignment="1">
      <alignment horizontal="center" vertical="center" wrapText="1"/>
    </xf>
    <xf numFmtId="49" fontId="19" fillId="0" borderId="66" xfId="0" applyNumberFormat="1" applyFont="1" applyFill="1" applyBorder="1" applyAlignment="1">
      <alignment horizontal="left"/>
    </xf>
    <xf numFmtId="3" fontId="19" fillId="0" borderId="66" xfId="0" applyNumberFormat="1" applyFont="1" applyFill="1" applyBorder="1" applyAlignment="1">
      <alignment horizontal="right"/>
    </xf>
    <xf numFmtId="171" fontId="19" fillId="0" borderId="66" xfId="0" applyNumberFormat="1" applyFont="1" applyFill="1" applyBorder="1" applyAlignment="1">
      <alignment horizontal="right"/>
    </xf>
    <xf numFmtId="188" fontId="19" fillId="0" borderId="66" xfId="0" applyNumberFormat="1" applyFont="1" applyFill="1" applyBorder="1" applyAlignment="1">
      <alignment horizontal="right"/>
    </xf>
    <xf numFmtId="176" fontId="19" fillId="0" borderId="66" xfId="0" applyNumberFormat="1" applyFont="1" applyFill="1" applyBorder="1" applyAlignment="1">
      <alignment horizontal="right"/>
    </xf>
    <xf numFmtId="173" fontId="19" fillId="0" borderId="66" xfId="0" applyNumberFormat="1" applyFont="1" applyFill="1" applyBorder="1" applyAlignment="1">
      <alignment horizontal="right"/>
    </xf>
    <xf numFmtId="165" fontId="19" fillId="0" borderId="66" xfId="0" applyNumberFormat="1" applyFont="1" applyFill="1" applyBorder="1" applyAlignment="1">
      <alignment horizontal="right"/>
    </xf>
    <xf numFmtId="187" fontId="19" fillId="0" borderId="66" xfId="0" applyNumberFormat="1" applyFont="1" applyFill="1" applyBorder="1" applyAlignment="1">
      <alignment horizontal="right"/>
    </xf>
    <xf numFmtId="166" fontId="19" fillId="0" borderId="0" xfId="0" applyNumberFormat="1" applyFont="1" applyFill="1" applyAlignment="1">
      <alignment vertical="center"/>
    </xf>
    <xf numFmtId="2" fontId="19" fillId="0" borderId="0" xfId="0" applyNumberFormat="1" applyFont="1" applyFill="1" applyAlignment="1">
      <alignment vertical="center"/>
    </xf>
    <xf numFmtId="17" fontId="22" fillId="0" borderId="66" xfId="0" applyNumberFormat="1" applyFont="1" applyFill="1" applyBorder="1" applyAlignment="1">
      <alignment horizontal="left"/>
    </xf>
    <xf numFmtId="3" fontId="22" fillId="0" borderId="66" xfId="0" applyNumberFormat="1" applyFont="1" applyFill="1" applyBorder="1" applyAlignment="1">
      <alignment horizontal="right"/>
    </xf>
    <xf numFmtId="165" fontId="22" fillId="0" borderId="66" xfId="0" applyNumberFormat="1" applyFont="1" applyFill="1" applyBorder="1" applyAlignment="1">
      <alignment horizontal="right"/>
    </xf>
    <xf numFmtId="188" fontId="22" fillId="0" borderId="66" xfId="0" applyNumberFormat="1" applyFont="1" applyFill="1" applyBorder="1" applyAlignment="1">
      <alignment horizontal="right"/>
    </xf>
    <xf numFmtId="176" fontId="22" fillId="0" borderId="66" xfId="0" applyNumberFormat="1" applyFont="1" applyFill="1" applyBorder="1" applyAlignment="1">
      <alignment horizontal="right"/>
    </xf>
    <xf numFmtId="173" fontId="22" fillId="0" borderId="66" xfId="0" applyNumberFormat="1" applyFont="1" applyFill="1" applyBorder="1" applyAlignment="1">
      <alignment horizontal="right"/>
    </xf>
    <xf numFmtId="187" fontId="22" fillId="0" borderId="66" xfId="0" applyNumberFormat="1" applyFont="1" applyFill="1" applyBorder="1" applyAlignment="1">
      <alignment horizontal="right"/>
    </xf>
    <xf numFmtId="166" fontId="37" fillId="0" borderId="0" xfId="0" applyNumberFormat="1" applyFont="1" applyFill="1" applyAlignment="1">
      <alignment vertical="center"/>
    </xf>
    <xf numFmtId="171" fontId="22" fillId="0" borderId="66" xfId="0" applyNumberFormat="1" applyFont="1" applyFill="1" applyBorder="1" applyAlignment="1">
      <alignment horizontal="right"/>
    </xf>
    <xf numFmtId="3" fontId="22" fillId="2" borderId="66" xfId="0" applyNumberFormat="1" applyFont="1" applyFill="1" applyBorder="1" applyAlignment="1">
      <alignment horizontal="right"/>
    </xf>
    <xf numFmtId="165" fontId="22" fillId="2" borderId="66" xfId="0" applyNumberFormat="1" applyFont="1" applyFill="1" applyBorder="1" applyAlignment="1">
      <alignment horizontal="right"/>
    </xf>
    <xf numFmtId="17" fontId="22" fillId="0" borderId="67" xfId="0" applyNumberFormat="1" applyFont="1" applyFill="1" applyBorder="1" applyAlignment="1">
      <alignment horizontal="left" vertical="center"/>
    </xf>
    <xf numFmtId="166" fontId="19" fillId="0" borderId="66" xfId="0" applyNumberFormat="1" applyFont="1" applyFill="1" applyBorder="1" applyAlignment="1">
      <alignment horizontal="right"/>
    </xf>
    <xf numFmtId="166" fontId="22" fillId="0" borderId="0" xfId="0" applyNumberFormat="1" applyFont="1" applyFill="1" applyAlignment="1">
      <alignment vertical="center"/>
    </xf>
    <xf numFmtId="166" fontId="22" fillId="0" borderId="66" xfId="0" applyNumberFormat="1" applyFont="1" applyFill="1" applyBorder="1" applyAlignment="1">
      <alignment horizontal="right"/>
    </xf>
    <xf numFmtId="49" fontId="19" fillId="0" borderId="0" xfId="0" applyNumberFormat="1" applyFont="1" applyFill="1" applyAlignment="1"/>
    <xf numFmtId="49" fontId="19" fillId="2" borderId="66" xfId="0" applyNumberFormat="1" applyFont="1" applyFill="1" applyBorder="1" applyAlignment="1">
      <alignment horizontal="left" vertical="center" wrapText="1"/>
    </xf>
    <xf numFmtId="166" fontId="19" fillId="2" borderId="66" xfId="0" applyNumberFormat="1" applyFont="1" applyFill="1" applyBorder="1" applyAlignment="1">
      <alignment horizontal="right" vertical="center" wrapText="1"/>
    </xf>
    <xf numFmtId="166" fontId="22" fillId="2" borderId="66" xfId="0" applyNumberFormat="1" applyFont="1" applyFill="1" applyBorder="1" applyAlignment="1">
      <alignment horizontal="right" vertical="center" wrapText="1"/>
    </xf>
    <xf numFmtId="49" fontId="22" fillId="2" borderId="0" xfId="0" applyNumberFormat="1" applyFont="1" applyFill="1" applyBorder="1" applyAlignment="1">
      <alignment horizontal="left" vertical="center" wrapText="1"/>
    </xf>
    <xf numFmtId="166" fontId="22" fillId="2" borderId="0" xfId="0" applyNumberFormat="1" applyFont="1" applyFill="1" applyBorder="1" applyAlignment="1">
      <alignment horizontal="right" vertical="center" wrapText="1"/>
    </xf>
    <xf numFmtId="189" fontId="22" fillId="2" borderId="0" xfId="0" applyNumberFormat="1" applyFont="1" applyFill="1" applyBorder="1" applyAlignment="1">
      <alignment horizontal="right" vertical="center" wrapText="1"/>
    </xf>
    <xf numFmtId="167" fontId="22" fillId="2" borderId="0" xfId="0" applyNumberFormat="1" applyFont="1" applyFill="1" applyBorder="1" applyAlignment="1">
      <alignment horizontal="right" vertical="center" wrapText="1"/>
    </xf>
    <xf numFmtId="0" fontId="19" fillId="2" borderId="66" xfId="0" applyFont="1" applyFill="1" applyBorder="1" applyAlignment="1">
      <alignment horizontal="center" vertical="center" wrapText="1"/>
    </xf>
    <xf numFmtId="178" fontId="19" fillId="2" borderId="66" xfId="0" applyNumberFormat="1" applyFont="1" applyFill="1" applyBorder="1" applyAlignment="1">
      <alignment horizontal="left"/>
    </xf>
    <xf numFmtId="0" fontId="19" fillId="2" borderId="66" xfId="0" applyFont="1" applyFill="1" applyBorder="1" applyAlignment="1">
      <alignment horizontal="right"/>
    </xf>
    <xf numFmtId="171" fontId="19" fillId="2" borderId="66" xfId="0" applyNumberFormat="1" applyFont="1" applyFill="1" applyBorder="1" applyAlignment="1">
      <alignment horizontal="right"/>
    </xf>
    <xf numFmtId="165" fontId="19" fillId="2" borderId="66" xfId="0" applyNumberFormat="1" applyFont="1" applyFill="1" applyBorder="1" applyAlignment="1">
      <alignment horizontal="right"/>
    </xf>
    <xf numFmtId="178" fontId="22" fillId="2" borderId="66" xfId="0" applyNumberFormat="1" applyFont="1" applyFill="1" applyBorder="1" applyAlignment="1">
      <alignment horizontal="left"/>
    </xf>
    <xf numFmtId="0" fontId="22" fillId="2" borderId="66" xfId="0" applyFont="1" applyFill="1" applyBorder="1" applyAlignment="1">
      <alignment horizontal="right"/>
    </xf>
    <xf numFmtId="171" fontId="22" fillId="2" borderId="66" xfId="0" applyNumberFormat="1" applyFont="1" applyFill="1" applyBorder="1" applyAlignment="1">
      <alignment horizontal="right"/>
    </xf>
    <xf numFmtId="172" fontId="22" fillId="2" borderId="66" xfId="0" applyNumberFormat="1" applyFont="1" applyFill="1" applyBorder="1" applyAlignment="1">
      <alignment horizontal="right"/>
    </xf>
    <xf numFmtId="178" fontId="22" fillId="0" borderId="67" xfId="0" applyNumberFormat="1" applyFont="1" applyFill="1" applyBorder="1" applyAlignment="1">
      <alignment horizontal="left" vertical="center"/>
    </xf>
    <xf numFmtId="0" fontId="19" fillId="0" borderId="66" xfId="0" applyFont="1" applyFill="1" applyBorder="1" applyAlignment="1">
      <alignment horizontal="center" vertical="center" wrapText="1"/>
    </xf>
    <xf numFmtId="3" fontId="19" fillId="0" borderId="0" xfId="0" applyNumberFormat="1" applyFont="1" applyFill="1" applyAlignment="1">
      <alignment vertical="center"/>
    </xf>
    <xf numFmtId="0" fontId="22" fillId="2" borderId="0" xfId="49" applyFont="1" applyFill="1" applyAlignment="1">
      <alignment vertical="center"/>
    </xf>
    <xf numFmtId="49" fontId="19" fillId="2" borderId="66" xfId="49" applyNumberFormat="1" applyFont="1" applyFill="1" applyBorder="1" applyAlignment="1">
      <alignment horizontal="center" vertical="center"/>
    </xf>
    <xf numFmtId="49" fontId="19" fillId="2" borderId="66" xfId="49" applyNumberFormat="1" applyFont="1" applyFill="1" applyBorder="1" applyAlignment="1">
      <alignment horizontal="left"/>
    </xf>
    <xf numFmtId="0" fontId="19" fillId="2" borderId="0" xfId="49" applyFont="1" applyFill="1" applyAlignment="1">
      <alignment vertical="center"/>
    </xf>
    <xf numFmtId="49" fontId="22" fillId="2" borderId="66" xfId="49" applyNumberFormat="1" applyFont="1" applyFill="1" applyBorder="1" applyAlignment="1">
      <alignment horizontal="left"/>
    </xf>
    <xf numFmtId="178" fontId="22" fillId="2" borderId="66" xfId="49" applyNumberFormat="1" applyFont="1" applyFill="1" applyBorder="1" applyAlignment="1">
      <alignment horizontal="left"/>
    </xf>
    <xf numFmtId="49" fontId="22" fillId="2" borderId="0" xfId="49" applyNumberFormat="1" applyFont="1" applyFill="1" applyBorder="1" applyAlignment="1">
      <alignment horizontal="left"/>
    </xf>
    <xf numFmtId="190" fontId="22" fillId="2" borderId="0" xfId="49" applyNumberFormat="1" applyFont="1" applyFill="1" applyBorder="1" applyAlignment="1">
      <alignment horizontal="right"/>
    </xf>
    <xf numFmtId="49" fontId="22" fillId="2" borderId="0" xfId="49" applyNumberFormat="1" applyFont="1" applyFill="1" applyAlignment="1"/>
    <xf numFmtId="49" fontId="19" fillId="2" borderId="66" xfId="0" applyNumberFormat="1" applyFont="1" applyFill="1" applyBorder="1" applyAlignment="1">
      <alignment horizontal="center"/>
    </xf>
    <xf numFmtId="49" fontId="19" fillId="2" borderId="66" xfId="0" applyNumberFormat="1" applyFont="1" applyFill="1" applyBorder="1" applyAlignment="1">
      <alignment horizontal="left"/>
    </xf>
    <xf numFmtId="49" fontId="22" fillId="2" borderId="66" xfId="0" applyNumberFormat="1" applyFont="1" applyFill="1" applyBorder="1" applyAlignment="1">
      <alignment horizontal="left"/>
    </xf>
    <xf numFmtId="173" fontId="22" fillId="2" borderId="66" xfId="0" applyNumberFormat="1" applyFont="1" applyFill="1" applyBorder="1" applyAlignment="1">
      <alignment horizontal="right"/>
    </xf>
    <xf numFmtId="190" fontId="22" fillId="2" borderId="0" xfId="0" applyNumberFormat="1" applyFont="1" applyFill="1" applyBorder="1" applyAlignment="1">
      <alignment horizontal="right"/>
    </xf>
    <xf numFmtId="49" fontId="22" fillId="2" borderId="0" xfId="0" applyNumberFormat="1" applyFont="1" applyFill="1" applyAlignment="1">
      <alignment wrapText="1"/>
    </xf>
    <xf numFmtId="49" fontId="19" fillId="0" borderId="35" xfId="0" applyNumberFormat="1" applyFont="1" applyFill="1" applyBorder="1" applyAlignment="1">
      <alignment vertical="center"/>
    </xf>
    <xf numFmtId="49" fontId="19" fillId="0" borderId="35" xfId="0" applyNumberFormat="1" applyFont="1" applyFill="1" applyBorder="1" applyAlignment="1">
      <alignment horizontal="center" vertical="center" wrapText="1"/>
    </xf>
    <xf numFmtId="49" fontId="19" fillId="2" borderId="66" xfId="0" applyNumberFormat="1" applyFont="1" applyFill="1" applyBorder="1" applyAlignment="1">
      <alignment horizontal="center" vertical="center" wrapText="1"/>
    </xf>
    <xf numFmtId="173" fontId="19" fillId="0" borderId="0" xfId="0" applyNumberFormat="1" applyFont="1" applyFill="1" applyAlignment="1">
      <alignment vertical="center"/>
    </xf>
    <xf numFmtId="0" fontId="0" fillId="0" borderId="0" xfId="0"/>
    <xf numFmtId="191" fontId="19" fillId="0" borderId="0" xfId="0" applyNumberFormat="1" applyFont="1" applyFill="1" applyAlignment="1">
      <alignment vertical="center"/>
    </xf>
    <xf numFmtId="49" fontId="19" fillId="0" borderId="66" xfId="0" applyNumberFormat="1" applyFont="1" applyFill="1" applyBorder="1" applyAlignment="1">
      <alignment horizontal="center" vertical="center"/>
    </xf>
    <xf numFmtId="173" fontId="19" fillId="2" borderId="66" xfId="0" applyNumberFormat="1" applyFont="1" applyFill="1" applyBorder="1" applyAlignment="1">
      <alignment horizontal="right"/>
    </xf>
    <xf numFmtId="191" fontId="20" fillId="0" borderId="0" xfId="0" applyNumberFormat="1" applyFont="1" applyFill="1" applyBorder="1" applyAlignment="1"/>
    <xf numFmtId="0" fontId="22" fillId="2" borderId="0" xfId="50" applyFont="1" applyFill="1" applyAlignment="1">
      <alignment vertical="center"/>
    </xf>
    <xf numFmtId="49" fontId="19" fillId="2" borderId="66" xfId="50" applyNumberFormat="1" applyFont="1" applyFill="1" applyBorder="1" applyAlignment="1">
      <alignment horizontal="center" wrapText="1"/>
    </xf>
    <xf numFmtId="0" fontId="19" fillId="2" borderId="66" xfId="50" applyFont="1" applyFill="1" applyBorder="1" applyAlignment="1">
      <alignment horizontal="center" wrapText="1"/>
    </xf>
    <xf numFmtId="49" fontId="19" fillId="2" borderId="66" xfId="50" applyNumberFormat="1" applyFont="1" applyFill="1" applyBorder="1" applyAlignment="1">
      <alignment horizontal="left"/>
    </xf>
    <xf numFmtId="3" fontId="19" fillId="2" borderId="66" xfId="50" applyNumberFormat="1" applyFont="1" applyFill="1" applyBorder="1" applyAlignment="1">
      <alignment horizontal="right"/>
    </xf>
    <xf numFmtId="0" fontId="19" fillId="2" borderId="0" xfId="50" applyFont="1" applyFill="1" applyAlignment="1">
      <alignment vertical="center"/>
    </xf>
    <xf numFmtId="17" fontId="22" fillId="2" borderId="66" xfId="50" applyNumberFormat="1" applyFont="1" applyFill="1" applyBorder="1" applyAlignment="1">
      <alignment horizontal="left"/>
    </xf>
    <xf numFmtId="3" fontId="22" fillId="2" borderId="66" xfId="50" applyNumberFormat="1" applyFont="1" applyFill="1" applyBorder="1" applyAlignment="1">
      <alignment horizontal="right"/>
    </xf>
    <xf numFmtId="49" fontId="22" fillId="2" borderId="0" xfId="50" applyNumberFormat="1" applyFont="1" applyFill="1" applyBorder="1" applyAlignment="1">
      <alignment horizontal="left"/>
    </xf>
    <xf numFmtId="0" fontId="22" fillId="2" borderId="0" xfId="50" applyFont="1" applyFill="1" applyBorder="1" applyAlignment="1">
      <alignment horizontal="right"/>
    </xf>
    <xf numFmtId="172" fontId="22" fillId="2" borderId="0" xfId="50" applyNumberFormat="1" applyFont="1" applyFill="1" applyBorder="1" applyAlignment="1">
      <alignment horizontal="right"/>
    </xf>
    <xf numFmtId="171" fontId="22" fillId="2" borderId="0" xfId="50" applyNumberFormat="1" applyFont="1" applyFill="1" applyBorder="1" applyAlignment="1">
      <alignment horizontal="right"/>
    </xf>
    <xf numFmtId="49" fontId="22" fillId="2" borderId="0" xfId="50" applyNumberFormat="1" applyFont="1" applyFill="1" applyAlignment="1"/>
    <xf numFmtId="0" fontId="20" fillId="0" borderId="0" xfId="0" applyNumberFormat="1" applyFont="1" applyFill="1" applyBorder="1" applyAlignment="1">
      <alignment wrapText="1"/>
    </xf>
    <xf numFmtId="0" fontId="22" fillId="2" borderId="0" xfId="0" applyFont="1" applyFill="1" applyAlignment="1">
      <alignment vertical="center" wrapText="1"/>
    </xf>
    <xf numFmtId="49" fontId="19" fillId="2" borderId="66" xfId="0" applyNumberFormat="1" applyFont="1" applyFill="1" applyBorder="1" applyAlignment="1">
      <alignment horizontal="left" wrapText="1"/>
    </xf>
    <xf numFmtId="3" fontId="19" fillId="2" borderId="66" xfId="0" applyNumberFormat="1" applyFont="1" applyFill="1" applyBorder="1" applyAlignment="1">
      <alignment horizontal="right" wrapText="1"/>
    </xf>
    <xf numFmtId="0" fontId="19" fillId="2" borderId="0" xfId="0" applyFont="1" applyFill="1" applyAlignment="1">
      <alignment vertical="center" wrapText="1"/>
    </xf>
    <xf numFmtId="3" fontId="19" fillId="2" borderId="66" xfId="0" applyNumberFormat="1" applyFont="1" applyFill="1" applyBorder="1" applyAlignment="1">
      <alignment horizontal="right"/>
    </xf>
    <xf numFmtId="3" fontId="19" fillId="2" borderId="0" xfId="0" applyNumberFormat="1" applyFont="1" applyFill="1" applyAlignment="1">
      <alignment vertical="center"/>
    </xf>
    <xf numFmtId="3" fontId="22" fillId="2" borderId="0" xfId="0" applyNumberFormat="1" applyFont="1" applyFill="1" applyAlignment="1">
      <alignment vertical="center"/>
    </xf>
    <xf numFmtId="189" fontId="19" fillId="0" borderId="66" xfId="0" applyNumberFormat="1" applyFont="1" applyFill="1" applyBorder="1" applyAlignment="1">
      <alignment horizontal="right"/>
    </xf>
    <xf numFmtId="178" fontId="22" fillId="0" borderId="66" xfId="0" applyNumberFormat="1" applyFont="1" applyFill="1" applyBorder="1" applyAlignment="1">
      <alignment horizontal="left"/>
    </xf>
    <xf numFmtId="189" fontId="22" fillId="0" borderId="66" xfId="0" applyNumberFormat="1" applyFont="1" applyFill="1" applyBorder="1" applyAlignment="1">
      <alignment horizontal="right"/>
    </xf>
    <xf numFmtId="189" fontId="22" fillId="0" borderId="0" xfId="0" applyNumberFormat="1" applyFont="1" applyFill="1" applyBorder="1" applyAlignment="1">
      <alignment horizontal="right"/>
    </xf>
    <xf numFmtId="189" fontId="20" fillId="0" borderId="0" xfId="0" applyNumberFormat="1" applyFont="1" applyFill="1" applyBorder="1" applyAlignment="1"/>
    <xf numFmtId="49" fontId="19" fillId="0" borderId="66" xfId="0" applyNumberFormat="1" applyFont="1" applyFill="1" applyBorder="1" applyAlignment="1">
      <alignment horizontal="center"/>
    </xf>
    <xf numFmtId="49" fontId="22" fillId="0" borderId="0" xfId="0" applyNumberFormat="1" applyFont="1" applyFill="1" applyBorder="1" applyAlignment="1">
      <alignment horizontal="left"/>
    </xf>
    <xf numFmtId="171" fontId="20" fillId="0" borderId="0" xfId="0" applyNumberFormat="1" applyFont="1" applyFill="1" applyBorder="1" applyAlignment="1"/>
    <xf numFmtId="0" fontId="21" fillId="0" borderId="0" xfId="0" applyNumberFormat="1" applyFont="1" applyFill="1" applyBorder="1" applyAlignment="1"/>
    <xf numFmtId="0" fontId="25" fillId="0" borderId="65" xfId="51" applyFont="1" applyFill="1" applyBorder="1"/>
    <xf numFmtId="178" fontId="21" fillId="0" borderId="65" xfId="51" applyNumberFormat="1" applyFont="1" applyFill="1" applyBorder="1" applyAlignment="1">
      <alignment horizontal="left"/>
    </xf>
    <xf numFmtId="188" fontId="25" fillId="0" borderId="65" xfId="1" applyNumberFormat="1" applyFont="1" applyFill="1" applyBorder="1"/>
    <xf numFmtId="188" fontId="21" fillId="0" borderId="0" xfId="0" applyNumberFormat="1" applyFont="1" applyFill="1" applyBorder="1" applyAlignment="1"/>
    <xf numFmtId="188" fontId="23" fillId="0" borderId="65" xfId="1" applyNumberFormat="1" applyFont="1" applyFill="1" applyBorder="1"/>
    <xf numFmtId="188" fontId="20" fillId="0" borderId="0" xfId="0" applyNumberFormat="1" applyFont="1" applyFill="1" applyBorder="1" applyAlignment="1"/>
    <xf numFmtId="188" fontId="20" fillId="0" borderId="65" xfId="1" applyNumberFormat="1" applyFont="1" applyFill="1" applyBorder="1"/>
    <xf numFmtId="0" fontId="17" fillId="0" borderId="0" xfId="51" applyFont="1"/>
    <xf numFmtId="164" fontId="17" fillId="0" borderId="0" xfId="55" applyNumberFormat="1" applyFont="1" applyBorder="1"/>
    <xf numFmtId="0" fontId="17" fillId="0" borderId="0" xfId="51" applyFont="1" applyBorder="1"/>
    <xf numFmtId="49" fontId="19" fillId="0" borderId="0" xfId="0" applyNumberFormat="1" applyFont="1" applyFill="1" applyAlignment="1">
      <alignment horizontal="right" vertical="top" wrapText="1"/>
    </xf>
    <xf numFmtId="0" fontId="25" fillId="0" borderId="65" xfId="0" applyFont="1" applyFill="1" applyBorder="1"/>
    <xf numFmtId="0" fontId="25" fillId="0" borderId="65" xfId="0" applyFont="1" applyFill="1" applyBorder="1" applyAlignment="1">
      <alignment horizontal="center"/>
    </xf>
    <xf numFmtId="3" fontId="25" fillId="0" borderId="65" xfId="0" applyNumberFormat="1" applyFont="1" applyFill="1" applyBorder="1"/>
    <xf numFmtId="17" fontId="20" fillId="0" borderId="65" xfId="0" applyNumberFormat="1" applyFont="1" applyFill="1" applyBorder="1" applyAlignment="1">
      <alignment horizontal="left"/>
    </xf>
    <xf numFmtId="3" fontId="23" fillId="0" borderId="65" xfId="0" applyNumberFormat="1" applyFont="1" applyFill="1" applyBorder="1"/>
    <xf numFmtId="178" fontId="25" fillId="0" borderId="65" xfId="66" applyNumberFormat="1" applyFont="1" applyFill="1" applyBorder="1" applyAlignment="1">
      <alignment horizontal="left" vertical="top"/>
    </xf>
    <xf numFmtId="178" fontId="23" fillId="0" borderId="65" xfId="66" applyNumberFormat="1" applyFont="1" applyFill="1" applyBorder="1" applyAlignment="1">
      <alignment horizontal="left" vertical="top"/>
    </xf>
    <xf numFmtId="201" fontId="20" fillId="0" borderId="0" xfId="0" applyNumberFormat="1" applyFont="1" applyFill="1" applyBorder="1" applyAlignment="1"/>
    <xf numFmtId="49" fontId="22" fillId="0" borderId="66" xfId="0" applyNumberFormat="1" applyFont="1" applyFill="1" applyBorder="1" applyAlignment="1">
      <alignment horizontal="left"/>
    </xf>
    <xf numFmtId="49" fontId="19" fillId="0" borderId="65" xfId="0" applyNumberFormat="1" applyFont="1" applyFill="1" applyBorder="1" applyAlignment="1">
      <alignment horizontal="center" vertical="center"/>
    </xf>
    <xf numFmtId="0" fontId="25" fillId="0" borderId="65" xfId="0" applyFont="1" applyFill="1" applyBorder="1" applyAlignment="1">
      <alignment vertical="center" wrapText="1"/>
    </xf>
    <xf numFmtId="192" fontId="19" fillId="0" borderId="66" xfId="1" applyNumberFormat="1" applyFont="1" applyFill="1" applyBorder="1" applyAlignment="1">
      <alignment horizontal="right"/>
    </xf>
    <xf numFmtId="192" fontId="22" fillId="0" borderId="66" xfId="1" applyNumberFormat="1" applyFont="1" applyFill="1" applyBorder="1" applyAlignment="1">
      <alignment horizontal="right"/>
    </xf>
    <xf numFmtId="193" fontId="22" fillId="0" borderId="0" xfId="0" applyNumberFormat="1" applyFont="1" applyFill="1" applyBorder="1" applyAlignment="1">
      <alignment horizontal="right"/>
    </xf>
    <xf numFmtId="192" fontId="20" fillId="0" borderId="0" xfId="0" applyNumberFormat="1" applyFont="1" applyFill="1" applyBorder="1" applyAlignment="1"/>
    <xf numFmtId="49" fontId="19" fillId="0" borderId="66" xfId="0" applyNumberFormat="1" applyFont="1" applyFill="1" applyBorder="1" applyAlignment="1">
      <alignment horizontal="left" vertical="center" wrapText="1"/>
    </xf>
    <xf numFmtId="3" fontId="22" fillId="0" borderId="0" xfId="0" applyNumberFormat="1" applyFont="1" applyFill="1" applyAlignment="1">
      <alignment vertical="center"/>
    </xf>
    <xf numFmtId="49" fontId="19" fillId="0" borderId="0" xfId="0" applyNumberFormat="1" applyFont="1" applyFill="1" applyAlignment="1">
      <alignment vertical="top"/>
    </xf>
    <xf numFmtId="165" fontId="22" fillId="0" borderId="64" xfId="0" applyNumberFormat="1" applyFont="1" applyFill="1" applyBorder="1" applyAlignment="1">
      <alignment horizontal="right"/>
    </xf>
    <xf numFmtId="171" fontId="22" fillId="0" borderId="64" xfId="0" applyNumberFormat="1" applyFont="1" applyFill="1" applyBorder="1" applyAlignment="1">
      <alignment horizontal="right"/>
    </xf>
    <xf numFmtId="173" fontId="22" fillId="0" borderId="64" xfId="0" applyNumberFormat="1" applyFont="1" applyFill="1" applyBorder="1" applyAlignment="1">
      <alignment horizontal="right"/>
    </xf>
    <xf numFmtId="165" fontId="22" fillId="0" borderId="67" xfId="0" applyNumberFormat="1" applyFont="1" applyFill="1" applyBorder="1" applyAlignment="1">
      <alignment horizontal="right"/>
    </xf>
    <xf numFmtId="171" fontId="22" fillId="0" borderId="67" xfId="0" applyNumberFormat="1" applyFont="1" applyFill="1" applyBorder="1" applyAlignment="1">
      <alignment horizontal="right"/>
    </xf>
    <xf numFmtId="173" fontId="22" fillId="0" borderId="67" xfId="0" applyNumberFormat="1" applyFont="1" applyFill="1" applyBorder="1" applyAlignment="1">
      <alignment horizontal="right"/>
    </xf>
    <xf numFmtId="166" fontId="20" fillId="0" borderId="0" xfId="0" applyNumberFormat="1" applyFont="1" applyFill="1" applyBorder="1" applyAlignment="1"/>
    <xf numFmtId="165" fontId="22" fillId="2" borderId="0" xfId="0" applyNumberFormat="1" applyFont="1" applyFill="1" applyAlignment="1">
      <alignment vertical="center"/>
    </xf>
    <xf numFmtId="171" fontId="22" fillId="2" borderId="0" xfId="0" applyNumberFormat="1" applyFont="1" applyFill="1" applyAlignment="1">
      <alignment vertical="center"/>
    </xf>
    <xf numFmtId="165" fontId="39" fillId="2" borderId="66" xfId="0" applyNumberFormat="1" applyFont="1" applyFill="1" applyBorder="1" applyAlignment="1">
      <alignment horizontal="right"/>
    </xf>
    <xf numFmtId="171" fontId="39" fillId="2" borderId="66" xfId="0" applyNumberFormat="1" applyFont="1" applyFill="1" applyBorder="1" applyAlignment="1">
      <alignment horizontal="right"/>
    </xf>
    <xf numFmtId="0" fontId="39" fillId="2" borderId="66" xfId="0" applyFont="1" applyFill="1" applyBorder="1" applyAlignment="1">
      <alignment horizontal="right"/>
    </xf>
    <xf numFmtId="172" fontId="39" fillId="2" borderId="66" xfId="0" applyNumberFormat="1" applyFont="1" applyFill="1" applyBorder="1" applyAlignment="1">
      <alignment horizontal="right"/>
    </xf>
    <xf numFmtId="0" fontId="21" fillId="0" borderId="0" xfId="0" applyNumberFormat="1" applyFont="1" applyFill="1" applyBorder="1" applyAlignment="1">
      <alignment horizontal="center"/>
    </xf>
    <xf numFmtId="3" fontId="22" fillId="2" borderId="66" xfId="1" applyNumberFormat="1" applyFont="1" applyFill="1" applyBorder="1" applyAlignment="1">
      <alignment horizontal="right"/>
    </xf>
    <xf numFmtId="49" fontId="22" fillId="9" borderId="66" xfId="0" applyNumberFormat="1" applyFont="1" applyFill="1" applyBorder="1" applyAlignment="1">
      <alignment horizontal="left"/>
    </xf>
    <xf numFmtId="0" fontId="21" fillId="0" borderId="67" xfId="10" applyFont="1" applyFill="1" applyBorder="1" applyAlignment="1">
      <alignment horizontal="center" vertical="center" wrapText="1"/>
    </xf>
    <xf numFmtId="0" fontId="21" fillId="0" borderId="67" xfId="10" applyFont="1" applyFill="1" applyBorder="1" applyAlignment="1">
      <alignment horizontal="center" vertical="center"/>
    </xf>
    <xf numFmtId="0" fontId="21" fillId="0" borderId="67" xfId="10" applyFont="1" applyFill="1" applyBorder="1" applyAlignment="1">
      <alignment vertical="center"/>
    </xf>
    <xf numFmtId="3" fontId="21" fillId="0" borderId="67" xfId="10" applyNumberFormat="1" applyFont="1" applyFill="1" applyBorder="1" applyAlignment="1">
      <alignment vertical="center"/>
    </xf>
    <xf numFmtId="0" fontId="21" fillId="0" borderId="67" xfId="10" applyFont="1" applyFill="1" applyBorder="1" applyAlignment="1">
      <alignment vertical="center" wrapText="1"/>
    </xf>
    <xf numFmtId="3" fontId="20" fillId="0" borderId="66" xfId="50" applyNumberFormat="1" applyFont="1" applyFill="1" applyBorder="1" applyAlignment="1">
      <alignment horizontal="right"/>
    </xf>
    <xf numFmtId="0" fontId="20" fillId="0" borderId="67" xfId="10" applyFont="1" applyFill="1" applyBorder="1" applyAlignment="1">
      <alignment horizontal="center" vertical="center"/>
    </xf>
    <xf numFmtId="0" fontId="20" fillId="0" borderId="67" xfId="10" applyFont="1" applyFill="1" applyBorder="1" applyAlignment="1">
      <alignment horizontal="left" vertical="center" indent="1"/>
    </xf>
    <xf numFmtId="3" fontId="21" fillId="0" borderId="66" xfId="50" applyNumberFormat="1" applyFont="1" applyFill="1" applyBorder="1" applyAlignment="1">
      <alignment horizontal="right"/>
    </xf>
    <xf numFmtId="0" fontId="20" fillId="0" borderId="67" xfId="10" applyFont="1" applyFill="1" applyBorder="1" applyAlignment="1">
      <alignment vertical="center"/>
    </xf>
    <xf numFmtId="1" fontId="20" fillId="0" borderId="67" xfId="10" applyNumberFormat="1" applyFont="1" applyFill="1" applyBorder="1" applyAlignment="1">
      <alignment horizontal="left" vertical="center" wrapText="1" indent="1"/>
    </xf>
    <xf numFmtId="1" fontId="20" fillId="0" borderId="67" xfId="10" applyNumberFormat="1" applyFont="1" applyFill="1" applyBorder="1" applyAlignment="1">
      <alignment horizontal="left" vertical="center" wrapText="1"/>
    </xf>
    <xf numFmtId="0" fontId="21" fillId="0" borderId="60" xfId="10" applyFont="1" applyFill="1" applyBorder="1" applyAlignment="1">
      <alignment vertical="center" wrapText="1"/>
    </xf>
    <xf numFmtId="49" fontId="22" fillId="0" borderId="66" xfId="0" applyNumberFormat="1" applyFont="1" applyFill="1" applyBorder="1" applyAlignment="1">
      <alignment horizontal="left" vertical="center"/>
    </xf>
    <xf numFmtId="3" fontId="22" fillId="0" borderId="66" xfId="0" applyNumberFormat="1" applyFont="1" applyFill="1" applyBorder="1" applyAlignment="1">
      <alignment horizontal="right" vertical="center"/>
    </xf>
    <xf numFmtId="17" fontId="22" fillId="0" borderId="66" xfId="0" applyNumberFormat="1" applyFont="1" applyFill="1" applyBorder="1" applyAlignment="1">
      <alignment horizontal="left" vertical="center"/>
    </xf>
    <xf numFmtId="171" fontId="22" fillId="0" borderId="0" xfId="0" applyNumberFormat="1" applyFont="1" applyFill="1" applyBorder="1" applyAlignment="1">
      <alignment horizontal="right" vertical="center"/>
    </xf>
    <xf numFmtId="165" fontId="22" fillId="0" borderId="0"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19" fillId="0" borderId="73" xfId="0" applyNumberFormat="1" applyFont="1" applyFill="1" applyBorder="1" applyAlignment="1">
      <alignment horizontal="left"/>
    </xf>
    <xf numFmtId="49" fontId="19" fillId="0" borderId="78" xfId="0" applyNumberFormat="1" applyFont="1" applyFill="1" applyBorder="1" applyAlignment="1">
      <alignment horizontal="left" vertical="center"/>
    </xf>
    <xf numFmtId="49" fontId="22" fillId="0" borderId="78" xfId="0" applyNumberFormat="1" applyFont="1" applyFill="1" applyBorder="1" applyAlignment="1">
      <alignment horizontal="left"/>
    </xf>
    <xf numFmtId="181" fontId="22" fillId="0" borderId="0" xfId="0" applyNumberFormat="1" applyFont="1" applyFill="1" applyAlignment="1">
      <alignment vertical="center"/>
    </xf>
    <xf numFmtId="49" fontId="19" fillId="0" borderId="81" xfId="0" applyNumberFormat="1" applyFont="1" applyFill="1" applyBorder="1" applyAlignment="1">
      <alignment horizontal="left"/>
    </xf>
    <xf numFmtId="2" fontId="24" fillId="0" borderId="0" xfId="0" applyNumberFormat="1" applyFont="1" applyFill="1" applyAlignment="1">
      <alignment horizontal="right" wrapText="1"/>
    </xf>
    <xf numFmtId="2" fontId="24" fillId="0" borderId="0" xfId="0" applyNumberFormat="1" applyFont="1" applyFill="1" applyAlignment="1">
      <alignment horizontal="right"/>
    </xf>
    <xf numFmtId="0" fontId="24" fillId="0" borderId="0" xfId="0" applyFont="1" applyFill="1" applyAlignment="1">
      <alignment horizontal="center" wrapText="1"/>
    </xf>
    <xf numFmtId="0" fontId="20" fillId="0" borderId="0" xfId="0" applyFont="1" applyFill="1"/>
    <xf numFmtId="0" fontId="20" fillId="0" borderId="0" xfId="0" applyFont="1" applyFill="1" applyBorder="1" applyAlignment="1">
      <alignment wrapText="1"/>
    </xf>
    <xf numFmtId="0" fontId="20" fillId="0" borderId="0" xfId="0" applyFont="1" applyFill="1" applyAlignment="1"/>
    <xf numFmtId="0" fontId="24" fillId="0" borderId="0" xfId="0" applyFont="1" applyFill="1" applyBorder="1" applyAlignment="1">
      <alignment horizontal="left" wrapText="1"/>
    </xf>
    <xf numFmtId="2"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wrapText="1"/>
    </xf>
    <xf numFmtId="0" fontId="26" fillId="0" borderId="0" xfId="0" applyFont="1" applyFill="1" applyBorder="1" applyAlignment="1">
      <alignment horizontal="left" vertical="center" wrapText="1"/>
    </xf>
    <xf numFmtId="0" fontId="49" fillId="0" borderId="0" xfId="0" applyFont="1" applyFill="1" applyBorder="1" applyAlignment="1">
      <alignment horizontal="right"/>
    </xf>
    <xf numFmtId="164" fontId="49" fillId="0" borderId="0" xfId="67" applyFont="1" applyFill="1" applyBorder="1" applyAlignment="1"/>
    <xf numFmtId="0" fontId="51" fillId="0" borderId="0" xfId="0" applyFont="1" applyFill="1" applyAlignment="1">
      <alignment horizontal="left" wrapText="1"/>
    </xf>
    <xf numFmtId="2" fontId="52" fillId="0" borderId="0" xfId="0" applyNumberFormat="1" applyFont="1" applyFill="1" applyAlignment="1">
      <alignment horizontal="right" wrapText="1"/>
    </xf>
    <xf numFmtId="2" fontId="53" fillId="0" borderId="0" xfId="0" applyNumberFormat="1" applyFont="1" applyFill="1" applyAlignment="1">
      <alignment horizontal="right"/>
    </xf>
    <xf numFmtId="0" fontId="52" fillId="0" borderId="0" xfId="0" applyFont="1" applyFill="1" applyAlignment="1">
      <alignment horizontal="center" wrapText="1"/>
    </xf>
    <xf numFmtId="0" fontId="54" fillId="0" borderId="0" xfId="0" applyFont="1" applyFill="1" applyBorder="1" applyAlignment="1"/>
    <xf numFmtId="0" fontId="55" fillId="0" borderId="0" xfId="0" applyFont="1" applyFill="1" applyBorder="1" applyAlignment="1">
      <alignment wrapText="1"/>
    </xf>
    <xf numFmtId="0" fontId="52" fillId="0" borderId="0" xfId="0" applyFont="1" applyFill="1" applyAlignment="1">
      <alignment vertical="top" wrapText="1"/>
    </xf>
    <xf numFmtId="0" fontId="56" fillId="0" borderId="0" xfId="0" applyFont="1" applyFill="1" applyAlignment="1">
      <alignment horizontal="center" vertical="top" wrapText="1"/>
    </xf>
    <xf numFmtId="49" fontId="40" fillId="0" borderId="66" xfId="0" applyNumberFormat="1" applyFont="1" applyFill="1" applyBorder="1" applyAlignment="1">
      <alignment horizontal="center" vertical="center"/>
    </xf>
    <xf numFmtId="49" fontId="22" fillId="0" borderId="66" xfId="0" applyNumberFormat="1" applyFont="1" applyFill="1" applyBorder="1" applyAlignment="1">
      <alignment horizontal="left" vertical="top"/>
    </xf>
    <xf numFmtId="49" fontId="41" fillId="0" borderId="66" xfId="0" applyNumberFormat="1" applyFont="1" applyFill="1" applyBorder="1" applyAlignment="1">
      <alignment horizontal="center"/>
    </xf>
    <xf numFmtId="165" fontId="42" fillId="0" borderId="66" xfId="0" applyNumberFormat="1" applyFont="1" applyFill="1" applyBorder="1" applyAlignment="1">
      <alignment horizontal="right"/>
    </xf>
    <xf numFmtId="165" fontId="22" fillId="0" borderId="0" xfId="0" applyNumberFormat="1" applyFont="1" applyFill="1" applyAlignment="1">
      <alignment vertical="center"/>
    </xf>
    <xf numFmtId="171" fontId="42" fillId="0" borderId="66" xfId="0" applyNumberFormat="1" applyFont="1" applyFill="1" applyBorder="1" applyAlignment="1">
      <alignment horizontal="right"/>
    </xf>
    <xf numFmtId="0" fontId="22" fillId="0" borderId="0" xfId="0" applyFont="1" applyFill="1" applyAlignment="1">
      <alignment wrapText="1"/>
    </xf>
    <xf numFmtId="0" fontId="23" fillId="0" borderId="0" xfId="0" applyFont="1" applyFill="1"/>
    <xf numFmtId="1"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2" fontId="20" fillId="0" borderId="0" xfId="0" applyNumberFormat="1" applyFont="1" applyFill="1" applyBorder="1" applyAlignment="1"/>
    <xf numFmtId="49" fontId="19" fillId="2" borderId="66" xfId="50" applyNumberFormat="1" applyFont="1" applyFill="1" applyBorder="1" applyAlignment="1">
      <alignment horizontal="center" vertical="center" wrapText="1"/>
    </xf>
    <xf numFmtId="0" fontId="19" fillId="2" borderId="66" xfId="50" applyFont="1" applyFill="1" applyBorder="1" applyAlignment="1">
      <alignment horizontal="center" vertical="center" wrapText="1"/>
    </xf>
    <xf numFmtId="49" fontId="22" fillId="2" borderId="66" xfId="50" applyNumberFormat="1" applyFont="1" applyFill="1" applyBorder="1" applyAlignment="1">
      <alignment horizontal="left"/>
    </xf>
    <xf numFmtId="165" fontId="22" fillId="2" borderId="66" xfId="50" applyNumberFormat="1" applyFont="1" applyFill="1" applyBorder="1" applyAlignment="1">
      <alignment horizontal="right"/>
    </xf>
    <xf numFmtId="171" fontId="22" fillId="2" borderId="66" xfId="50" applyNumberFormat="1" applyFont="1" applyFill="1" applyBorder="1" applyAlignment="1">
      <alignment horizontal="right"/>
    </xf>
    <xf numFmtId="172" fontId="22" fillId="2" borderId="66" xfId="50" applyNumberFormat="1" applyFont="1" applyFill="1" applyBorder="1" applyAlignment="1">
      <alignment horizontal="right"/>
    </xf>
    <xf numFmtId="49" fontId="19" fillId="2" borderId="0" xfId="50" applyNumberFormat="1" applyFont="1" applyFill="1" applyAlignment="1">
      <alignment horizontal="left"/>
    </xf>
    <xf numFmtId="49" fontId="19" fillId="2" borderId="66" xfId="50" applyNumberFormat="1" applyFont="1" applyFill="1" applyBorder="1" applyAlignment="1">
      <alignment horizontal="center" vertical="center"/>
    </xf>
    <xf numFmtId="49" fontId="22" fillId="2" borderId="66" xfId="50" applyNumberFormat="1" applyFont="1" applyFill="1" applyBorder="1" applyAlignment="1">
      <alignment horizontal="left" wrapText="1"/>
    </xf>
    <xf numFmtId="165" fontId="22" fillId="2" borderId="0" xfId="50" applyNumberFormat="1" applyFont="1" applyFill="1" applyAlignment="1">
      <alignment vertical="center"/>
    </xf>
    <xf numFmtId="0" fontId="34" fillId="0" borderId="0" xfId="0" applyNumberFormat="1" applyFont="1" applyFill="1"/>
    <xf numFmtId="0" fontId="44" fillId="0" borderId="0" xfId="0" applyNumberFormat="1" applyFont="1" applyFill="1" applyAlignment="1">
      <alignment horizontal="left"/>
    </xf>
    <xf numFmtId="0" fontId="20" fillId="0" borderId="0" xfId="0" applyNumberFormat="1" applyFont="1" applyFill="1" applyBorder="1" applyAlignment="1">
      <alignment horizontal="center"/>
    </xf>
    <xf numFmtId="0" fontId="24" fillId="0" borderId="0" xfId="0" applyNumberFormat="1" applyFont="1" applyFill="1" applyBorder="1" applyAlignment="1">
      <alignment vertical="center" wrapText="1"/>
    </xf>
    <xf numFmtId="188" fontId="22" fillId="0" borderId="0" xfId="0" applyNumberFormat="1" applyFont="1" applyFill="1" applyBorder="1" applyAlignment="1">
      <alignment horizontal="right"/>
    </xf>
    <xf numFmtId="183" fontId="19" fillId="0" borderId="66" xfId="1" applyNumberFormat="1" applyFont="1" applyFill="1" applyBorder="1" applyAlignment="1">
      <alignment horizontal="right"/>
    </xf>
    <xf numFmtId="0" fontId="19" fillId="0" borderId="66" xfId="0" applyFont="1" applyFill="1" applyBorder="1" applyAlignment="1">
      <alignment horizontal="right"/>
    </xf>
    <xf numFmtId="183" fontId="22" fillId="0" borderId="66" xfId="1" applyNumberFormat="1" applyFont="1" applyFill="1" applyBorder="1" applyAlignment="1">
      <alignment horizontal="right"/>
    </xf>
    <xf numFmtId="49" fontId="19" fillId="0" borderId="64" xfId="0" applyNumberFormat="1" applyFont="1" applyFill="1" applyBorder="1" applyAlignment="1">
      <alignment horizontal="left"/>
    </xf>
    <xf numFmtId="178" fontId="20" fillId="0" borderId="65" xfId="0" applyNumberFormat="1" applyFont="1" applyFill="1" applyBorder="1" applyAlignment="1">
      <alignment horizontal="left"/>
    </xf>
    <xf numFmtId="3" fontId="22" fillId="0" borderId="70" xfId="0" applyNumberFormat="1" applyFont="1" applyFill="1" applyBorder="1" applyAlignment="1">
      <alignment horizontal="right"/>
    </xf>
    <xf numFmtId="0" fontId="28" fillId="0" borderId="0" xfId="0" applyFont="1" applyFill="1" applyAlignment="1">
      <alignment vertical="center"/>
    </xf>
    <xf numFmtId="2" fontId="23" fillId="0" borderId="65" xfId="54" applyNumberFormat="1" applyFont="1" applyFill="1" applyBorder="1"/>
    <xf numFmtId="1" fontId="25" fillId="0" borderId="65" xfId="53" applyNumberFormat="1" applyFont="1" applyFill="1" applyBorder="1"/>
    <xf numFmtId="1" fontId="25" fillId="0" borderId="65" xfId="54" applyNumberFormat="1" applyFont="1" applyFill="1" applyBorder="1"/>
    <xf numFmtId="1" fontId="23" fillId="0" borderId="65" xfId="54" applyNumberFormat="1" applyFont="1" applyFill="1" applyBorder="1"/>
    <xf numFmtId="1" fontId="23" fillId="0" borderId="65" xfId="53" applyNumberFormat="1" applyFont="1" applyFill="1" applyBorder="1"/>
    <xf numFmtId="2" fontId="23" fillId="0" borderId="65" xfId="1" applyNumberFormat="1" applyFont="1" applyFill="1" applyBorder="1"/>
    <xf numFmtId="1" fontId="20" fillId="0" borderId="65" xfId="53" applyNumberFormat="1" applyFont="1" applyFill="1" applyBorder="1"/>
    <xf numFmtId="1" fontId="20" fillId="0" borderId="65" xfId="54" applyNumberFormat="1" applyFont="1" applyFill="1" applyBorder="1"/>
    <xf numFmtId="1" fontId="43" fillId="0" borderId="0" xfId="49" applyNumberFormat="1" applyFont="1" applyFill="1" applyBorder="1" applyAlignment="1">
      <alignment vertical="top"/>
    </xf>
    <xf numFmtId="49" fontId="19" fillId="0" borderId="79" xfId="0" applyNumberFormat="1" applyFont="1" applyFill="1" applyBorder="1" applyAlignment="1">
      <alignment horizontal="center" vertical="center" wrapText="1"/>
    </xf>
    <xf numFmtId="181" fontId="24" fillId="0" borderId="65" xfId="1" applyNumberFormat="1" applyFont="1" applyFill="1" applyBorder="1"/>
    <xf numFmtId="3" fontId="24" fillId="0" borderId="67" xfId="1" applyNumberFormat="1" applyFont="1" applyFill="1" applyBorder="1"/>
    <xf numFmtId="3" fontId="19" fillId="0" borderId="82" xfId="0" applyNumberFormat="1" applyFont="1" applyFill="1" applyBorder="1" applyAlignment="1">
      <alignment horizontal="right"/>
    </xf>
    <xf numFmtId="0" fontId="24" fillId="0" borderId="0" xfId="0" applyFont="1" applyFill="1" applyAlignment="1">
      <alignment horizontal="left" wrapText="1"/>
    </xf>
    <xf numFmtId="0" fontId="24" fillId="0" borderId="0" xfId="0" applyFont="1" applyFill="1"/>
    <xf numFmtId="0" fontId="0" fillId="0" borderId="0" xfId="0" applyFill="1"/>
    <xf numFmtId="0" fontId="57" fillId="0" borderId="0" xfId="0" applyFont="1" applyFill="1"/>
    <xf numFmtId="0" fontId="0" fillId="0" borderId="0" xfId="0" applyFill="1" applyAlignment="1"/>
    <xf numFmtId="0" fontId="13" fillId="0" borderId="0" xfId="0" applyFont="1" applyFill="1" applyAlignment="1"/>
    <xf numFmtId="49" fontId="40" fillId="0" borderId="66" xfId="0" applyNumberFormat="1" applyFont="1" applyFill="1" applyBorder="1" applyAlignment="1">
      <alignment horizontal="center" vertical="center" wrapText="1"/>
    </xf>
    <xf numFmtId="187" fontId="42" fillId="0" borderId="66" xfId="0" applyNumberFormat="1" applyFont="1" applyFill="1" applyBorder="1" applyAlignment="1">
      <alignment horizontal="right"/>
    </xf>
    <xf numFmtId="172" fontId="42" fillId="0" borderId="66" xfId="0" applyNumberFormat="1" applyFont="1" applyFill="1" applyBorder="1" applyAlignment="1">
      <alignment horizontal="right"/>
    </xf>
    <xf numFmtId="0" fontId="42" fillId="0" borderId="0" xfId="0" applyFont="1" applyFill="1" applyAlignment="1">
      <alignment wrapText="1"/>
    </xf>
    <xf numFmtId="0" fontId="42" fillId="0" borderId="0" xfId="0" applyFont="1" applyFill="1" applyAlignment="1">
      <alignment horizontal="left" wrapText="1"/>
    </xf>
    <xf numFmtId="0" fontId="43" fillId="0" borderId="0" xfId="0" applyFont="1" applyFill="1"/>
    <xf numFmtId="49" fontId="42" fillId="0" borderId="0" xfId="0" applyNumberFormat="1" applyFont="1" applyFill="1" applyAlignment="1"/>
    <xf numFmtId="49" fontId="42" fillId="0" borderId="0" xfId="0" applyNumberFormat="1" applyFont="1" applyFill="1" applyAlignment="1">
      <alignment wrapText="1"/>
    </xf>
    <xf numFmtId="0" fontId="46" fillId="0" borderId="65" xfId="0" applyNumberFormat="1" applyFont="1" applyFill="1" applyBorder="1" applyAlignment="1">
      <alignment horizontal="center" vertical="center"/>
    </xf>
    <xf numFmtId="49" fontId="21" fillId="0" borderId="0" xfId="50" applyNumberFormat="1" applyFont="1" applyFill="1" applyAlignment="1">
      <alignment horizontal="left"/>
    </xf>
    <xf numFmtId="49" fontId="25" fillId="0" borderId="66" xfId="38" applyNumberFormat="1" applyFont="1" applyFill="1" applyBorder="1" applyAlignment="1">
      <alignment horizontal="left"/>
    </xf>
    <xf numFmtId="49" fontId="25" fillId="0" borderId="66" xfId="38" applyNumberFormat="1" applyFont="1" applyFill="1" applyBorder="1" applyAlignment="1">
      <alignment horizontal="center"/>
    </xf>
    <xf numFmtId="49" fontId="25" fillId="0" borderId="66" xfId="38" applyNumberFormat="1" applyFont="1" applyFill="1" applyBorder="1" applyAlignment="1">
      <alignment horizontal="center" wrapText="1"/>
    </xf>
    <xf numFmtId="165" fontId="25" fillId="0" borderId="66" xfId="38" applyNumberFormat="1" applyFont="1" applyFill="1" applyBorder="1" applyAlignment="1">
      <alignment horizontal="right"/>
    </xf>
    <xf numFmtId="171" fontId="25" fillId="0" borderId="66" xfId="38" applyNumberFormat="1" applyFont="1" applyFill="1" applyBorder="1" applyAlignment="1">
      <alignment horizontal="right"/>
    </xf>
    <xf numFmtId="49" fontId="23" fillId="0" borderId="65" xfId="38" applyNumberFormat="1" applyFont="1" applyFill="1" applyBorder="1" applyAlignment="1">
      <alignment horizontal="left"/>
    </xf>
    <xf numFmtId="165" fontId="23" fillId="0" borderId="65" xfId="38" applyNumberFormat="1" applyFont="1" applyFill="1" applyBorder="1" applyAlignment="1">
      <alignment horizontal="right"/>
    </xf>
    <xf numFmtId="171" fontId="23" fillId="0" borderId="65" xfId="38" applyNumberFormat="1" applyFont="1" applyFill="1" applyBorder="1" applyAlignment="1">
      <alignment horizontal="right"/>
    </xf>
    <xf numFmtId="178" fontId="23" fillId="0" borderId="65" xfId="38" applyNumberFormat="1" applyFont="1" applyFill="1" applyBorder="1" applyAlignment="1">
      <alignment horizontal="left" vertical="center"/>
    </xf>
    <xf numFmtId="165" fontId="23" fillId="0" borderId="64" xfId="38" applyNumberFormat="1" applyFont="1" applyFill="1" applyBorder="1" applyAlignment="1">
      <alignment horizontal="right"/>
    </xf>
    <xf numFmtId="165" fontId="19" fillId="2" borderId="66" xfId="50" applyNumberFormat="1" applyFont="1" applyFill="1" applyBorder="1" applyAlignment="1">
      <alignment horizontal="right"/>
    </xf>
    <xf numFmtId="171" fontId="19" fillId="2" borderId="66" xfId="50" applyNumberFormat="1" applyFont="1" applyFill="1" applyBorder="1" applyAlignment="1">
      <alignment horizontal="right"/>
    </xf>
    <xf numFmtId="172" fontId="19" fillId="2" borderId="66" xfId="50" applyNumberFormat="1" applyFont="1" applyFill="1" applyBorder="1" applyAlignment="1">
      <alignment horizontal="right"/>
    </xf>
    <xf numFmtId="0" fontId="59" fillId="0" borderId="0" xfId="0" applyNumberFormat="1" applyFont="1" applyFill="1" applyBorder="1" applyAlignment="1">
      <alignment vertical="center"/>
    </xf>
    <xf numFmtId="0" fontId="45" fillId="0" borderId="90" xfId="0" applyNumberFormat="1" applyFont="1" applyFill="1" applyBorder="1" applyAlignment="1">
      <alignment horizontal="center" vertical="center"/>
    </xf>
    <xf numFmtId="0" fontId="34" fillId="0" borderId="65" xfId="0" applyNumberFormat="1" applyFont="1" applyFill="1" applyBorder="1"/>
    <xf numFmtId="1" fontId="34" fillId="0" borderId="65" xfId="0" applyNumberFormat="1" applyFont="1" applyFill="1" applyBorder="1"/>
    <xf numFmtId="1" fontId="34" fillId="0" borderId="65" xfId="0" applyNumberFormat="1" applyFont="1" applyFill="1" applyBorder="1" applyAlignment="1">
      <alignment horizontal="right"/>
    </xf>
    <xf numFmtId="1" fontId="35" fillId="0" borderId="90" xfId="0" applyNumberFormat="1" applyFont="1" applyFill="1" applyBorder="1" applyAlignment="1">
      <alignment horizontal="right" vertical="center"/>
    </xf>
    <xf numFmtId="1" fontId="34" fillId="0" borderId="0" xfId="0" applyNumberFormat="1" applyFont="1" applyFill="1"/>
    <xf numFmtId="1" fontId="35" fillId="0" borderId="65" xfId="0" applyNumberFormat="1" applyFont="1" applyFill="1" applyBorder="1" applyAlignment="1">
      <alignment horizontal="right" vertical="center"/>
    </xf>
    <xf numFmtId="1" fontId="34" fillId="0" borderId="90" xfId="0" applyNumberFormat="1" applyFont="1" applyFill="1" applyBorder="1"/>
    <xf numFmtId="1" fontId="35" fillId="0" borderId="94" xfId="0" applyNumberFormat="1" applyFont="1" applyFill="1" applyBorder="1" applyAlignment="1">
      <alignment horizontal="right" vertical="center"/>
    </xf>
    <xf numFmtId="1" fontId="35" fillId="0" borderId="65" xfId="0" applyNumberFormat="1" applyFont="1" applyFill="1" applyBorder="1" applyAlignment="1">
      <alignment horizontal="right"/>
    </xf>
    <xf numFmtId="1" fontId="35" fillId="0" borderId="55" xfId="0" applyNumberFormat="1" applyFont="1" applyFill="1" applyBorder="1" applyAlignment="1">
      <alignment horizontal="right" vertical="center"/>
    </xf>
    <xf numFmtId="1" fontId="35" fillId="0" borderId="93" xfId="0" applyNumberFormat="1" applyFont="1" applyFill="1" applyBorder="1" applyAlignment="1">
      <alignment horizontal="right" vertical="center"/>
    </xf>
    <xf numFmtId="0" fontId="34" fillId="0" borderId="103" xfId="0" applyNumberFormat="1" applyFont="1" applyFill="1" applyBorder="1"/>
    <xf numFmtId="1" fontId="35" fillId="0" borderId="103" xfId="0" applyNumberFormat="1" applyFont="1" applyFill="1" applyBorder="1" applyAlignment="1">
      <alignment horizontal="right" vertical="center"/>
    </xf>
    <xf numFmtId="1" fontId="35" fillId="0" borderId="104"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0" fontId="60" fillId="0" borderId="106" xfId="0" applyNumberFormat="1" applyFont="1" applyFill="1" applyBorder="1"/>
    <xf numFmtId="0" fontId="60" fillId="0" borderId="0" xfId="0" applyNumberFormat="1" applyFont="1" applyFill="1"/>
    <xf numFmtId="0" fontId="45" fillId="0" borderId="0" xfId="0" applyNumberFormat="1" applyFont="1" applyFill="1"/>
    <xf numFmtId="0" fontId="44" fillId="0" borderId="0" xfId="0" applyNumberFormat="1" applyFont="1" applyAlignment="1">
      <alignment vertical="top"/>
    </xf>
    <xf numFmtId="0" fontId="34" fillId="0" borderId="0" xfId="0" applyNumberFormat="1" applyFont="1" applyAlignment="1">
      <alignment vertical="top"/>
    </xf>
    <xf numFmtId="177" fontId="36" fillId="7" borderId="89" xfId="28" applyNumberFormat="1" applyFont="1" applyFill="1" applyBorder="1" applyAlignment="1">
      <alignment horizontal="center" vertical="top" wrapText="1"/>
    </xf>
    <xf numFmtId="177" fontId="36" fillId="7" borderId="65" xfId="29" applyNumberFormat="1" applyFont="1" applyFill="1" applyBorder="1" applyAlignment="1">
      <alignment horizontal="center" vertical="top" wrapText="1"/>
    </xf>
    <xf numFmtId="177" fontId="36" fillId="7" borderId="90" xfId="29" applyNumberFormat="1" applyFont="1" applyFill="1" applyBorder="1" applyAlignment="1">
      <alignment horizontal="center" vertical="top" wrapText="1"/>
    </xf>
    <xf numFmtId="178" fontId="36" fillId="2" borderId="65" xfId="0" applyNumberFormat="1" applyFont="1" applyFill="1" applyBorder="1" applyAlignment="1">
      <alignment horizontal="left" vertical="top" wrapText="1"/>
    </xf>
    <xf numFmtId="3" fontId="36" fillId="0" borderId="65" xfId="58" applyNumberFormat="1" applyFont="1" applyFill="1" applyBorder="1" applyAlignment="1">
      <alignment horizontal="right" vertical="top" wrapText="1"/>
    </xf>
    <xf numFmtId="181" fontId="45" fillId="0" borderId="65" xfId="1" applyNumberFormat="1" applyFont="1" applyBorder="1" applyAlignment="1">
      <alignment vertical="top"/>
    </xf>
    <xf numFmtId="0" fontId="45" fillId="0" borderId="0" xfId="0" applyNumberFormat="1" applyFont="1" applyAlignment="1">
      <alignment vertical="top"/>
    </xf>
    <xf numFmtId="178" fontId="35" fillId="2" borderId="65" xfId="0" applyNumberFormat="1" applyFont="1" applyFill="1" applyBorder="1" applyAlignment="1">
      <alignment horizontal="left" vertical="top"/>
    </xf>
    <xf numFmtId="3" fontId="35" fillId="0" borderId="65" xfId="58" applyNumberFormat="1" applyFont="1" applyFill="1" applyBorder="1" applyAlignment="1">
      <alignment horizontal="right" vertical="top" wrapText="1"/>
    </xf>
    <xf numFmtId="178" fontId="35" fillId="0" borderId="65" xfId="0" applyNumberFormat="1" applyFont="1" applyFill="1" applyBorder="1" applyAlignment="1">
      <alignment horizontal="left" vertical="top"/>
    </xf>
    <xf numFmtId="0" fontId="34" fillId="0" borderId="0" xfId="0" applyNumberFormat="1" applyFont="1" applyFill="1" applyAlignment="1">
      <alignment vertical="top"/>
    </xf>
    <xf numFmtId="0" fontId="61" fillId="0" borderId="0" xfId="0" applyFont="1" applyAlignment="1">
      <alignment vertical="top"/>
    </xf>
    <xf numFmtId="3" fontId="35" fillId="0" borderId="0" xfId="58" applyNumberFormat="1" applyFont="1" applyFill="1" applyBorder="1" applyAlignment="1">
      <alignment horizontal="right" vertical="top" wrapText="1"/>
    </xf>
    <xf numFmtId="0" fontId="60" fillId="0" borderId="0" xfId="0" applyNumberFormat="1" applyFont="1" applyAlignment="1">
      <alignment vertical="top"/>
    </xf>
    <xf numFmtId="0" fontId="62" fillId="0" borderId="0" xfId="0" applyNumberFormat="1" applyFont="1" applyAlignment="1">
      <alignment vertical="top"/>
    </xf>
    <xf numFmtId="3" fontId="63" fillId="0" borderId="0" xfId="58" applyNumberFormat="1" applyFont="1" applyFill="1" applyBorder="1" applyAlignment="1">
      <alignment horizontal="right" vertical="top" wrapText="1"/>
    </xf>
    <xf numFmtId="0" fontId="34" fillId="0" borderId="0" xfId="0" applyNumberFormat="1" applyFont="1"/>
    <xf numFmtId="0" fontId="44" fillId="0" borderId="0" xfId="0" applyNumberFormat="1" applyFont="1"/>
    <xf numFmtId="0" fontId="34" fillId="0" borderId="0" xfId="0" applyNumberFormat="1" applyFont="1" applyAlignment="1">
      <alignment horizontal="center"/>
    </xf>
    <xf numFmtId="0" fontId="45" fillId="8" borderId="65" xfId="0" applyNumberFormat="1" applyFont="1" applyFill="1" applyBorder="1" applyAlignment="1">
      <alignment vertical="center" wrapText="1"/>
    </xf>
    <xf numFmtId="0" fontId="45" fillId="8" borderId="94" xfId="0" applyNumberFormat="1" applyFont="1" applyFill="1" applyBorder="1" applyAlignment="1">
      <alignment vertical="center" wrapText="1"/>
    </xf>
    <xf numFmtId="178" fontId="36" fillId="0" borderId="65" xfId="0" applyNumberFormat="1" applyFont="1" applyFill="1" applyBorder="1" applyAlignment="1">
      <alignment horizontal="left"/>
    </xf>
    <xf numFmtId="3" fontId="36" fillId="0" borderId="65" xfId="4" applyNumberFormat="1" applyFont="1" applyFill="1" applyBorder="1" applyAlignment="1">
      <alignment horizontal="right" vertical="top"/>
    </xf>
    <xf numFmtId="178" fontId="35" fillId="0" borderId="65" xfId="0" applyNumberFormat="1" applyFont="1" applyFill="1" applyBorder="1" applyAlignment="1">
      <alignment horizontal="left"/>
    </xf>
    <xf numFmtId="3" fontId="35" fillId="5" borderId="65" xfId="4" applyNumberFormat="1" applyFont="1" applyFill="1" applyBorder="1" applyAlignment="1">
      <alignment horizontal="right" vertical="top"/>
    </xf>
    <xf numFmtId="3" fontId="35" fillId="5" borderId="65" xfId="1" applyNumberFormat="1" applyFont="1" applyFill="1" applyBorder="1" applyAlignment="1">
      <alignment horizontal="right" vertical="top"/>
    </xf>
    <xf numFmtId="0" fontId="45" fillId="0" borderId="0" xfId="0" applyNumberFormat="1" applyFont="1"/>
    <xf numFmtId="0" fontId="45" fillId="0" borderId="0" xfId="0" applyNumberFormat="1" applyFont="1" applyBorder="1"/>
    <xf numFmtId="3" fontId="35" fillId="0" borderId="65" xfId="4" applyNumberFormat="1" applyFont="1" applyFill="1" applyBorder="1" applyAlignment="1">
      <alignment horizontal="right" vertical="top"/>
    </xf>
    <xf numFmtId="3" fontId="35" fillId="0" borderId="65" xfId="1" applyNumberFormat="1" applyFont="1" applyFill="1" applyBorder="1" applyAlignment="1">
      <alignment horizontal="right" vertical="top"/>
    </xf>
    <xf numFmtId="0" fontId="45" fillId="0" borderId="0" xfId="0" applyNumberFormat="1" applyFont="1" applyFill="1" applyBorder="1"/>
    <xf numFmtId="178" fontId="35" fillId="0" borderId="0" xfId="0" applyNumberFormat="1" applyFont="1" applyFill="1" applyBorder="1" applyAlignment="1">
      <alignment horizontal="left"/>
    </xf>
    <xf numFmtId="180" fontId="36" fillId="0" borderId="0" xfId="4" applyNumberFormat="1" applyFont="1" applyFill="1" applyBorder="1" applyAlignment="1">
      <alignment horizontal="right" vertical="top"/>
    </xf>
    <xf numFmtId="3" fontId="36" fillId="5" borderId="65" xfId="4" applyNumberFormat="1" applyFont="1" applyFill="1" applyBorder="1" applyAlignment="1">
      <alignment horizontal="right" vertical="top"/>
    </xf>
    <xf numFmtId="180" fontId="34" fillId="0" borderId="0" xfId="0" applyNumberFormat="1" applyFont="1"/>
    <xf numFmtId="180" fontId="34" fillId="0" borderId="65" xfId="0" applyNumberFormat="1" applyFont="1" applyFill="1" applyBorder="1"/>
    <xf numFmtId="3" fontId="34" fillId="0" borderId="65" xfId="0" applyNumberFormat="1" applyFont="1" applyFill="1" applyBorder="1"/>
    <xf numFmtId="0" fontId="34" fillId="0" borderId="0" xfId="0" applyNumberFormat="1" applyFont="1" applyFill="1" applyBorder="1"/>
    <xf numFmtId="180" fontId="34" fillId="0" borderId="0" xfId="0" applyNumberFormat="1" applyFont="1" applyFill="1" applyBorder="1"/>
    <xf numFmtId="194" fontId="34" fillId="0" borderId="0" xfId="0" applyNumberFormat="1" applyFont="1" applyFill="1" applyBorder="1"/>
    <xf numFmtId="3" fontId="35" fillId="5" borderId="0" xfId="4" applyNumberFormat="1" applyFont="1" applyFill="1" applyBorder="1" applyAlignment="1">
      <alignment horizontal="right" vertical="top"/>
    </xf>
    <xf numFmtId="194" fontId="34" fillId="0" borderId="0" xfId="0" applyNumberFormat="1" applyFont="1"/>
    <xf numFmtId="181" fontId="34" fillId="0" borderId="0" xfId="1" applyNumberFormat="1" applyFont="1"/>
    <xf numFmtId="0" fontId="45" fillId="0" borderId="0" xfId="0" applyNumberFormat="1" applyFont="1" applyBorder="1" applyAlignment="1">
      <alignment vertical="top"/>
    </xf>
    <xf numFmtId="1" fontId="34" fillId="0" borderId="0" xfId="0" applyNumberFormat="1" applyFont="1"/>
    <xf numFmtId="2" fontId="34" fillId="0" borderId="0" xfId="0" applyNumberFormat="1" applyFont="1"/>
    <xf numFmtId="181" fontId="34" fillId="0" borderId="0" xfId="0" applyNumberFormat="1" applyFont="1"/>
    <xf numFmtId="0" fontId="34" fillId="0" borderId="0" xfId="0" quotePrefix="1" applyNumberFormat="1" applyFont="1"/>
    <xf numFmtId="0" fontId="45" fillId="0" borderId="65" xfId="0" applyNumberFormat="1" applyFont="1" applyBorder="1" applyAlignment="1">
      <alignment vertical="center" wrapText="1"/>
    </xf>
    <xf numFmtId="3" fontId="36" fillId="0" borderId="65" xfId="1" applyNumberFormat="1" applyFont="1" applyFill="1" applyBorder="1" applyAlignment="1">
      <alignment horizontal="right" vertical="top"/>
    </xf>
    <xf numFmtId="3" fontId="36" fillId="0" borderId="65" xfId="4" applyNumberFormat="1" applyFont="1" applyFill="1" applyBorder="1" applyAlignment="1">
      <alignment horizontal="right"/>
    </xf>
    <xf numFmtId="3" fontId="66" fillId="0" borderId="65" xfId="1" applyNumberFormat="1" applyFont="1" applyFill="1" applyBorder="1" applyAlignment="1">
      <alignment vertical="center"/>
    </xf>
    <xf numFmtId="3" fontId="35" fillId="0" borderId="65" xfId="4" applyNumberFormat="1" applyFont="1" applyFill="1" applyBorder="1" applyAlignment="1">
      <alignment horizontal="right"/>
    </xf>
    <xf numFmtId="3" fontId="66" fillId="0" borderId="65" xfId="1" applyNumberFormat="1" applyFont="1" applyFill="1" applyBorder="1" applyAlignment="1">
      <alignment horizontal="right" vertical="center"/>
    </xf>
    <xf numFmtId="4" fontId="66" fillId="0" borderId="65" xfId="1" applyNumberFormat="1" applyFont="1" applyFill="1" applyBorder="1" applyAlignment="1">
      <alignment vertical="center"/>
    </xf>
    <xf numFmtId="179" fontId="35" fillId="0" borderId="0" xfId="4" applyNumberFormat="1" applyFont="1" applyFill="1" applyBorder="1" applyAlignment="1">
      <alignment horizontal="right" vertical="top"/>
    </xf>
    <xf numFmtId="180" fontId="35" fillId="0" borderId="0" xfId="4" applyNumberFormat="1" applyFont="1" applyFill="1" applyBorder="1" applyAlignment="1">
      <alignment horizontal="right" vertical="top"/>
    </xf>
    <xf numFmtId="179" fontId="66" fillId="0" borderId="0" xfId="1" applyNumberFormat="1" applyFont="1" applyFill="1" applyBorder="1" applyAlignment="1">
      <alignment vertical="center"/>
    </xf>
    <xf numFmtId="195" fontId="35" fillId="0" borderId="0" xfId="4" applyNumberFormat="1" applyFont="1" applyFill="1" applyBorder="1" applyAlignment="1">
      <alignment horizontal="right" vertical="top"/>
    </xf>
    <xf numFmtId="0" fontId="60" fillId="0" borderId="0" xfId="0" applyFont="1"/>
    <xf numFmtId="0" fontId="59" fillId="0" borderId="94" xfId="0" applyNumberFormat="1" applyFont="1" applyFill="1" applyBorder="1" applyAlignment="1">
      <alignment vertical="center"/>
    </xf>
    <xf numFmtId="0" fontId="59" fillId="0" borderId="95" xfId="0" applyNumberFormat="1" applyFont="1" applyFill="1" applyBorder="1" applyAlignment="1">
      <alignment vertical="center"/>
    </xf>
    <xf numFmtId="188" fontId="36" fillId="5" borderId="65" xfId="4" applyNumberFormat="1" applyFont="1" applyFill="1" applyBorder="1" applyAlignment="1">
      <alignment horizontal="right" vertical="top"/>
    </xf>
    <xf numFmtId="178" fontId="35" fillId="2" borderId="65" xfId="0" applyNumberFormat="1" applyFont="1" applyFill="1" applyBorder="1" applyAlignment="1">
      <alignment horizontal="left"/>
    </xf>
    <xf numFmtId="17" fontId="35" fillId="0" borderId="0" xfId="22" applyNumberFormat="1" applyFont="1" applyBorder="1" applyAlignment="1">
      <alignment horizontal="left"/>
    </xf>
    <xf numFmtId="180" fontId="45" fillId="0" borderId="0" xfId="0" applyNumberFormat="1" applyFont="1" applyBorder="1"/>
    <xf numFmtId="194" fontId="45" fillId="0" borderId="0" xfId="0" applyNumberFormat="1" applyFont="1" applyBorder="1"/>
    <xf numFmtId="17" fontId="36" fillId="0" borderId="0" xfId="22" applyNumberFormat="1" applyFont="1" applyBorder="1" applyAlignment="1">
      <alignment horizontal="left"/>
    </xf>
    <xf numFmtId="0" fontId="60" fillId="0" borderId="0" xfId="0" applyNumberFormat="1" applyFont="1"/>
    <xf numFmtId="17" fontId="34" fillId="0" borderId="65" xfId="0" applyNumberFormat="1" applyFont="1" applyBorder="1" applyAlignment="1">
      <alignment horizontal="left" vertical="center"/>
    </xf>
    <xf numFmtId="3" fontId="34" fillId="0" borderId="65" xfId="0" applyNumberFormat="1" applyFont="1" applyBorder="1" applyAlignment="1">
      <alignment horizontal="right"/>
    </xf>
    <xf numFmtId="17" fontId="34" fillId="0" borderId="65" xfId="0" applyNumberFormat="1" applyFont="1" applyFill="1" applyBorder="1" applyAlignment="1">
      <alignment horizontal="left" vertical="center"/>
    </xf>
    <xf numFmtId="180" fontId="35" fillId="0" borderId="65" xfId="4" applyNumberFormat="1" applyFont="1" applyFill="1" applyBorder="1" applyAlignment="1">
      <alignment horizontal="right" vertical="top"/>
    </xf>
    <xf numFmtId="3" fontId="34" fillId="0" borderId="65" xfId="0" applyNumberFormat="1" applyFont="1" applyFill="1" applyBorder="1" applyAlignment="1">
      <alignment horizontal="right"/>
    </xf>
    <xf numFmtId="194" fontId="35" fillId="0" borderId="0" xfId="4" applyNumberFormat="1" applyFont="1" applyFill="1" applyBorder="1" applyAlignment="1">
      <alignment horizontal="right" vertical="top"/>
    </xf>
    <xf numFmtId="0" fontId="45" fillId="0" borderId="0" xfId="0" applyNumberFormat="1" applyFont="1" applyBorder="1" applyAlignment="1">
      <alignment horizontal="center"/>
    </xf>
    <xf numFmtId="166" fontId="45" fillId="0" borderId="0" xfId="0" applyNumberFormat="1" applyFont="1" applyBorder="1" applyAlignment="1">
      <alignment horizontal="center"/>
    </xf>
    <xf numFmtId="178" fontId="36" fillId="0" borderId="55" xfId="0" applyNumberFormat="1" applyFont="1" applyFill="1" applyBorder="1" applyAlignment="1">
      <alignment horizontal="left"/>
    </xf>
    <xf numFmtId="3" fontId="45" fillId="0" borderId="55" xfId="0" applyNumberFormat="1" applyFont="1" applyBorder="1" applyAlignment="1"/>
    <xf numFmtId="181" fontId="45" fillId="0" borderId="0" xfId="0" applyNumberFormat="1" applyFont="1" applyBorder="1" applyAlignment="1">
      <alignment horizontal="center"/>
    </xf>
    <xf numFmtId="3" fontId="35" fillId="5" borderId="65" xfId="4" applyNumberFormat="1" applyFont="1" applyFill="1" applyBorder="1" applyAlignment="1">
      <alignment vertical="top"/>
    </xf>
    <xf numFmtId="3" fontId="34" fillId="0" borderId="65" xfId="1" applyNumberFormat="1" applyFont="1" applyBorder="1" applyAlignment="1"/>
    <xf numFmtId="3" fontId="34" fillId="0" borderId="65" xfId="0" applyNumberFormat="1" applyFont="1" applyBorder="1" applyAlignment="1"/>
    <xf numFmtId="1" fontId="45" fillId="0" borderId="0" xfId="0" applyNumberFormat="1" applyFont="1" applyBorder="1" applyAlignment="1">
      <alignment horizontal="center"/>
    </xf>
    <xf numFmtId="3" fontId="34" fillId="0" borderId="65" xfId="0" applyNumberFormat="1" applyFont="1" applyFill="1" applyBorder="1" applyAlignment="1"/>
    <xf numFmtId="3" fontId="45" fillId="0" borderId="0" xfId="0" applyNumberFormat="1" applyFont="1" applyBorder="1" applyAlignment="1">
      <alignment horizontal="center"/>
    </xf>
    <xf numFmtId="3" fontId="35" fillId="0" borderId="65" xfId="4" applyNumberFormat="1" applyFont="1" applyFill="1" applyBorder="1" applyAlignment="1">
      <alignment vertical="top"/>
    </xf>
    <xf numFmtId="3" fontId="34" fillId="0" borderId="65" xfId="1" applyNumberFormat="1" applyFont="1" applyFill="1" applyBorder="1" applyAlignment="1"/>
    <xf numFmtId="3" fontId="45" fillId="0" borderId="0" xfId="0" applyNumberFormat="1" applyFont="1" applyFill="1" applyBorder="1" applyAlignment="1">
      <alignment horizontal="center"/>
    </xf>
    <xf numFmtId="166" fontId="45" fillId="0" borderId="0" xfId="0" applyNumberFormat="1" applyFont="1" applyFill="1" applyBorder="1" applyAlignment="1">
      <alignment horizontal="center"/>
    </xf>
    <xf numFmtId="0" fontId="45" fillId="0" borderId="0" xfId="0" applyNumberFormat="1" applyFont="1" applyFill="1" applyBorder="1" applyAlignment="1">
      <alignment horizontal="center"/>
    </xf>
    <xf numFmtId="182" fontId="45" fillId="0" borderId="0" xfId="1" applyNumberFormat="1" applyFont="1" applyFill="1" applyBorder="1" applyAlignment="1">
      <alignment horizontal="center"/>
    </xf>
    <xf numFmtId="202" fontId="34" fillId="0" borderId="0" xfId="0" applyNumberFormat="1" applyFont="1"/>
    <xf numFmtId="180" fontId="35" fillId="5" borderId="0" xfId="4" applyNumberFormat="1" applyFont="1" applyFill="1" applyBorder="1" applyAlignment="1">
      <alignment horizontal="right" vertical="top"/>
    </xf>
    <xf numFmtId="179" fontId="35" fillId="5" borderId="0" xfId="4" applyNumberFormat="1" applyFont="1" applyFill="1" applyBorder="1" applyAlignment="1">
      <alignment horizontal="right" vertical="top"/>
    </xf>
    <xf numFmtId="188" fontId="45" fillId="0" borderId="0" xfId="0" applyNumberFormat="1" applyFont="1" applyBorder="1" applyAlignment="1">
      <alignment horizontal="center"/>
    </xf>
    <xf numFmtId="196" fontId="34" fillId="0" borderId="0" xfId="0" applyNumberFormat="1" applyFont="1"/>
    <xf numFmtId="180" fontId="36" fillId="5" borderId="0" xfId="4" applyNumberFormat="1" applyFont="1" applyFill="1" applyBorder="1" applyAlignment="1">
      <alignment horizontal="right" vertical="top"/>
    </xf>
    <xf numFmtId="9" fontId="34" fillId="0" borderId="0" xfId="35" applyFont="1"/>
    <xf numFmtId="197" fontId="0" fillId="0" borderId="0" xfId="0" applyNumberFormat="1"/>
    <xf numFmtId="0" fontId="67" fillId="5" borderId="0" xfId="0" applyNumberFormat="1" applyFont="1" applyFill="1" applyBorder="1" applyAlignment="1">
      <alignment horizontal="left" vertical="center"/>
    </xf>
    <xf numFmtId="0" fontId="68" fillId="0" borderId="0" xfId="0" applyFont="1"/>
    <xf numFmtId="0" fontId="69" fillId="8" borderId="65" xfId="0" applyNumberFormat="1" applyFont="1" applyFill="1" applyBorder="1" applyAlignment="1">
      <alignment horizontal="center" vertical="top" wrapText="1"/>
    </xf>
    <xf numFmtId="0" fontId="69" fillId="8" borderId="65" xfId="0" applyNumberFormat="1" applyFont="1" applyFill="1" applyBorder="1" applyAlignment="1">
      <alignment vertical="center" wrapText="1"/>
    </xf>
    <xf numFmtId="0" fontId="69" fillId="8" borderId="65" xfId="0" applyNumberFormat="1" applyFont="1" applyFill="1" applyBorder="1" applyAlignment="1">
      <alignment vertical="top" wrapText="1"/>
    </xf>
    <xf numFmtId="0" fontId="69" fillId="0" borderId="65" xfId="0" applyNumberFormat="1" applyFont="1" applyBorder="1" applyAlignment="1">
      <alignment vertical="center" wrapText="1"/>
    </xf>
    <xf numFmtId="3" fontId="72" fillId="5" borderId="65" xfId="4" applyNumberFormat="1" applyFont="1" applyFill="1" applyBorder="1" applyAlignment="1">
      <alignment horizontal="right" vertical="top"/>
    </xf>
    <xf numFmtId="3" fontId="73" fillId="5" borderId="65" xfId="4" applyNumberFormat="1" applyFont="1" applyFill="1" applyBorder="1" applyAlignment="1">
      <alignment horizontal="right" vertical="top"/>
    </xf>
    <xf numFmtId="3" fontId="72" fillId="0" borderId="65" xfId="4" applyNumberFormat="1" applyFont="1" applyFill="1" applyBorder="1" applyAlignment="1">
      <alignment horizontal="right" vertical="top"/>
    </xf>
    <xf numFmtId="188" fontId="72" fillId="5" borderId="65" xfId="4" applyNumberFormat="1" applyFont="1" applyFill="1" applyBorder="1" applyAlignment="1">
      <alignment horizontal="right" vertical="top"/>
    </xf>
    <xf numFmtId="178" fontId="73" fillId="2" borderId="65" xfId="0" applyNumberFormat="1" applyFont="1" applyFill="1" applyBorder="1" applyAlignment="1">
      <alignment horizontal="left"/>
    </xf>
    <xf numFmtId="3" fontId="73" fillId="0" borderId="65" xfId="4" applyNumberFormat="1" applyFont="1" applyFill="1" applyBorder="1" applyAlignment="1">
      <alignment horizontal="right" vertical="top"/>
    </xf>
    <xf numFmtId="178" fontId="73" fillId="0" borderId="65" xfId="0" applyNumberFormat="1" applyFont="1" applyFill="1" applyBorder="1" applyAlignment="1">
      <alignment horizontal="left"/>
    </xf>
    <xf numFmtId="0" fontId="68" fillId="0" borderId="0" xfId="0" applyFont="1" applyFill="1"/>
    <xf numFmtId="188" fontId="73" fillId="5" borderId="65" xfId="4" applyNumberFormat="1" applyFont="1" applyFill="1" applyBorder="1" applyAlignment="1">
      <alignment horizontal="right" vertical="top"/>
    </xf>
    <xf numFmtId="166" fontId="68" fillId="0" borderId="0" xfId="0" applyNumberFormat="1" applyFont="1"/>
    <xf numFmtId="178" fontId="72" fillId="0" borderId="55" xfId="0" applyNumberFormat="1" applyFont="1" applyFill="1" applyBorder="1" applyAlignment="1">
      <alignment horizontal="left"/>
    </xf>
    <xf numFmtId="3" fontId="69" fillId="0" borderId="55" xfId="0" applyNumberFormat="1" applyFont="1" applyBorder="1" applyAlignment="1"/>
    <xf numFmtId="3" fontId="69" fillId="0" borderId="55" xfId="1" applyNumberFormat="1" applyFont="1" applyBorder="1" applyAlignment="1"/>
    <xf numFmtId="17" fontId="74" fillId="0" borderId="65" xfId="0" applyNumberFormat="1" applyFont="1" applyBorder="1" applyAlignment="1">
      <alignment horizontal="left" vertical="center"/>
    </xf>
    <xf numFmtId="3" fontId="73" fillId="5" borderId="65" xfId="4" applyNumberFormat="1" applyFont="1" applyFill="1" applyBorder="1" applyAlignment="1">
      <alignment vertical="top"/>
    </xf>
    <xf numFmtId="3" fontId="74" fillId="0" borderId="65" xfId="1" applyNumberFormat="1" applyFont="1" applyBorder="1" applyAlignment="1"/>
    <xf numFmtId="3" fontId="74" fillId="0" borderId="65" xfId="0" applyNumberFormat="1" applyFont="1" applyBorder="1" applyAlignment="1"/>
    <xf numFmtId="2" fontId="68" fillId="0" borderId="0" xfId="0" applyNumberFormat="1" applyFont="1" applyFill="1"/>
    <xf numFmtId="1" fontId="68" fillId="0" borderId="0" xfId="0" applyNumberFormat="1" applyFont="1" applyFill="1"/>
    <xf numFmtId="166" fontId="68" fillId="0" borderId="0" xfId="0" applyNumberFormat="1" applyFont="1" applyFill="1"/>
    <xf numFmtId="17" fontId="74" fillId="0" borderId="65" xfId="0" applyNumberFormat="1" applyFont="1" applyFill="1" applyBorder="1" applyAlignment="1">
      <alignment horizontal="left" vertical="center"/>
    </xf>
    <xf numFmtId="3" fontId="73" fillId="0" borderId="65" xfId="4" applyNumberFormat="1" applyFont="1" applyFill="1" applyBorder="1" applyAlignment="1">
      <alignment vertical="top"/>
    </xf>
    <xf numFmtId="3" fontId="74" fillId="0" borderId="65" xfId="1" applyNumberFormat="1" applyFont="1" applyFill="1" applyBorder="1" applyAlignment="1"/>
    <xf numFmtId="3" fontId="74" fillId="0" borderId="65" xfId="0" applyNumberFormat="1" applyFont="1" applyFill="1" applyBorder="1" applyAlignment="1"/>
    <xf numFmtId="17" fontId="74" fillId="0" borderId="0" xfId="0" applyNumberFormat="1" applyFont="1" applyBorder="1" applyAlignment="1">
      <alignment horizontal="left" vertical="center"/>
    </xf>
    <xf numFmtId="3" fontId="73" fillId="5" borderId="0" xfId="4" applyNumberFormat="1" applyFont="1" applyFill="1" applyBorder="1" applyAlignment="1">
      <alignment vertical="top"/>
    </xf>
    <xf numFmtId="3" fontId="74" fillId="0" borderId="0" xfId="1" applyNumberFormat="1" applyFont="1" applyBorder="1" applyAlignment="1"/>
    <xf numFmtId="3" fontId="74" fillId="0" borderId="0" xfId="0" applyNumberFormat="1" applyFont="1" applyBorder="1" applyAlignment="1"/>
    <xf numFmtId="188" fontId="74" fillId="0" borderId="0" xfId="1" applyNumberFormat="1" applyFont="1" applyBorder="1" applyAlignment="1"/>
    <xf numFmtId="0" fontId="69" fillId="0" borderId="0" xfId="0" applyNumberFormat="1" applyFont="1" applyFill="1"/>
    <xf numFmtId="2" fontId="68" fillId="0" borderId="0" xfId="0" applyNumberFormat="1" applyFont="1"/>
    <xf numFmtId="1" fontId="45" fillId="0" borderId="65" xfId="0" applyNumberFormat="1" applyFont="1" applyFill="1" applyBorder="1"/>
    <xf numFmtId="194" fontId="36" fillId="0" borderId="65" xfId="4" applyNumberFormat="1" applyFont="1" applyFill="1" applyBorder="1" applyAlignment="1">
      <alignment horizontal="right" vertical="top"/>
    </xf>
    <xf numFmtId="195" fontId="36" fillId="0" borderId="65" xfId="4" applyNumberFormat="1" applyFont="1" applyFill="1" applyBorder="1" applyAlignment="1">
      <alignment horizontal="right" vertical="top"/>
    </xf>
    <xf numFmtId="178" fontId="35" fillId="0" borderId="65" xfId="9" applyNumberFormat="1" applyFont="1" applyFill="1" applyBorder="1" applyAlignment="1">
      <alignment horizontal="left"/>
    </xf>
    <xf numFmtId="194" fontId="35" fillId="0" borderId="65" xfId="4" applyNumberFormat="1" applyFont="1" applyFill="1" applyBorder="1" applyAlignment="1">
      <alignment horizontal="right" vertical="top"/>
    </xf>
    <xf numFmtId="0" fontId="75" fillId="0" borderId="0" xfId="0" applyFont="1"/>
    <xf numFmtId="0" fontId="46" fillId="8" borderId="65" xfId="0" applyFont="1" applyFill="1" applyBorder="1" applyAlignment="1">
      <alignment horizontal="center" vertical="center" wrapText="1"/>
    </xf>
    <xf numFmtId="181" fontId="35" fillId="0" borderId="65" xfId="0" applyNumberFormat="1" applyFont="1" applyFill="1" applyBorder="1" applyAlignment="1">
      <alignment horizontal="center" vertical="center" wrapText="1"/>
    </xf>
    <xf numFmtId="181" fontId="35" fillId="0" borderId="65" xfId="0" applyNumberFormat="1" applyFont="1" applyFill="1" applyBorder="1" applyAlignment="1">
      <alignment horizontal="left" vertical="top" wrapText="1"/>
    </xf>
    <xf numFmtId="182" fontId="35" fillId="0" borderId="65" xfId="0" applyNumberFormat="1" applyFont="1" applyFill="1" applyBorder="1" applyAlignment="1">
      <alignment horizontal="left" vertical="top" wrapText="1"/>
    </xf>
    <xf numFmtId="181" fontId="34" fillId="0" borderId="65" xfId="1" applyNumberFormat="1" applyFont="1" applyFill="1" applyBorder="1" applyAlignment="1">
      <alignment horizontal="right"/>
    </xf>
    <xf numFmtId="181" fontId="35" fillId="0" borderId="65" xfId="1" applyNumberFormat="1" applyFont="1" applyFill="1" applyBorder="1" applyAlignment="1">
      <alignment horizontal="right"/>
    </xf>
    <xf numFmtId="181" fontId="35" fillId="0" borderId="93" xfId="1" applyNumberFormat="1" applyFont="1" applyFill="1" applyBorder="1" applyAlignment="1">
      <alignment horizontal="right" vertical="top"/>
    </xf>
    <xf numFmtId="166" fontId="75" fillId="0" borderId="0" xfId="0" applyNumberFormat="1" applyFont="1"/>
    <xf numFmtId="181" fontId="35" fillId="0" borderId="65" xfId="1" applyNumberFormat="1" applyFont="1" applyFill="1" applyBorder="1" applyAlignment="1">
      <alignment horizontal="right" vertical="top"/>
    </xf>
    <xf numFmtId="181" fontId="36" fillId="0" borderId="65" xfId="0" applyNumberFormat="1" applyFont="1" applyFill="1" applyBorder="1" applyAlignment="1">
      <alignment horizontal="center" vertical="center" wrapText="1"/>
    </xf>
    <xf numFmtId="181" fontId="35" fillId="5" borderId="65" xfId="1" applyNumberFormat="1" applyFont="1" applyFill="1" applyBorder="1" applyAlignment="1">
      <alignment horizontal="right" vertical="top"/>
    </xf>
    <xf numFmtId="1" fontId="75" fillId="0" borderId="0" xfId="0" applyNumberFormat="1" applyFont="1"/>
    <xf numFmtId="1" fontId="35" fillId="0" borderId="65" xfId="1" applyNumberFormat="1" applyFont="1" applyFill="1" applyBorder="1" applyAlignment="1">
      <alignment horizontal="right" vertical="top"/>
    </xf>
    <xf numFmtId="1" fontId="34" fillId="0" borderId="65" xfId="1" applyNumberFormat="1" applyFont="1" applyFill="1" applyBorder="1" applyAlignment="1">
      <alignment horizontal="right"/>
    </xf>
    <xf numFmtId="2" fontId="75" fillId="0" borderId="0" xfId="0" applyNumberFormat="1" applyFont="1"/>
    <xf numFmtId="181" fontId="35" fillId="0" borderId="65" xfId="1" applyNumberFormat="1" applyFont="1" applyFill="1" applyBorder="1" applyAlignment="1">
      <alignment vertical="center"/>
    </xf>
    <xf numFmtId="181" fontId="34" fillId="0" borderId="65" xfId="1" applyNumberFormat="1" applyFont="1" applyFill="1" applyBorder="1" applyAlignment="1">
      <alignment vertical="center"/>
    </xf>
    <xf numFmtId="181" fontId="35" fillId="5" borderId="65" xfId="1" applyNumberFormat="1" applyFont="1" applyFill="1" applyBorder="1" applyAlignment="1">
      <alignment vertical="center"/>
    </xf>
    <xf numFmtId="181" fontId="36" fillId="5" borderId="65" xfId="1" applyNumberFormat="1" applyFont="1" applyFill="1" applyBorder="1" applyAlignment="1">
      <alignment horizontal="right" vertical="top"/>
    </xf>
    <xf numFmtId="181" fontId="35" fillId="0" borderId="65" xfId="0" applyNumberFormat="1" applyFont="1" applyFill="1" applyBorder="1" applyAlignment="1">
      <alignment horizontal="right" vertical="top" wrapText="1"/>
    </xf>
    <xf numFmtId="182" fontId="15" fillId="0" borderId="65" xfId="0" applyNumberFormat="1" applyFont="1" applyFill="1" applyBorder="1" applyAlignment="1">
      <alignment horizontal="left" vertical="top" wrapText="1"/>
    </xf>
    <xf numFmtId="181" fontId="15" fillId="0" borderId="65" xfId="0" applyNumberFormat="1" applyFont="1" applyFill="1" applyBorder="1" applyAlignment="1">
      <alignment horizontal="left" vertical="top" wrapText="1"/>
    </xf>
    <xf numFmtId="181" fontId="34" fillId="0" borderId="65" xfId="1" quotePrefix="1" applyNumberFormat="1" applyFont="1" applyFill="1" applyBorder="1" applyAlignment="1">
      <alignment horizontal="right"/>
    </xf>
    <xf numFmtId="182" fontId="36" fillId="0" borderId="65" xfId="0" applyNumberFormat="1" applyFont="1" applyFill="1" applyBorder="1" applyAlignment="1">
      <alignment horizontal="center" vertical="top" wrapText="1"/>
    </xf>
    <xf numFmtId="1" fontId="35" fillId="5" borderId="65" xfId="1" applyNumberFormat="1" applyFont="1" applyFill="1" applyBorder="1" applyAlignment="1">
      <alignment horizontal="right" vertical="top"/>
    </xf>
    <xf numFmtId="182" fontId="35" fillId="0" borderId="65" xfId="0" applyNumberFormat="1" applyFont="1" applyFill="1" applyBorder="1" applyAlignment="1">
      <alignment horizontal="center" vertical="center" wrapText="1"/>
    </xf>
    <xf numFmtId="1" fontId="45" fillId="0" borderId="65" xfId="1" applyNumberFormat="1" applyFont="1" applyFill="1" applyBorder="1" applyAlignment="1">
      <alignment horizontal="right"/>
    </xf>
    <xf numFmtId="181" fontId="45" fillId="0" borderId="65" xfId="1" quotePrefix="1" applyNumberFormat="1" applyFont="1" applyFill="1" applyBorder="1" applyAlignment="1">
      <alignment horizontal="right"/>
    </xf>
    <xf numFmtId="0" fontId="34" fillId="0" borderId="0" xfId="0" applyFont="1" applyFill="1"/>
    <xf numFmtId="0" fontId="36" fillId="0" borderId="0" xfId="0" applyFont="1" applyFill="1" applyBorder="1" applyAlignment="1">
      <alignment horizontal="center" vertical="top" wrapText="1"/>
    </xf>
    <xf numFmtId="182" fontId="36" fillId="0" borderId="0" xfId="1" applyNumberFormat="1" applyFont="1" applyFill="1" applyBorder="1" applyAlignment="1">
      <alignment horizontal="right" vertical="top"/>
    </xf>
    <xf numFmtId="0" fontId="45" fillId="0" borderId="0" xfId="0" applyFont="1" applyFill="1"/>
    <xf numFmtId="0" fontId="75" fillId="0" borderId="0" xfId="0" applyFont="1" applyFill="1"/>
    <xf numFmtId="2" fontId="77" fillId="0" borderId="0" xfId="0" applyNumberFormat="1" applyFont="1" applyFill="1"/>
    <xf numFmtId="0" fontId="75" fillId="10" borderId="0" xfId="0" applyFont="1" applyFill="1"/>
    <xf numFmtId="0" fontId="36" fillId="0" borderId="91" xfId="0" applyFont="1" applyFill="1" applyBorder="1" applyAlignment="1"/>
    <xf numFmtId="181" fontId="35" fillId="0" borderId="65" xfId="0" applyNumberFormat="1" applyFont="1" applyFill="1" applyBorder="1" applyAlignment="1">
      <alignment horizontal="center" vertical="top" wrapText="1"/>
    </xf>
    <xf numFmtId="0" fontId="35" fillId="0" borderId="65" xfId="0" applyFont="1" applyFill="1" applyBorder="1" applyAlignment="1">
      <alignment horizontal="left" vertical="top"/>
    </xf>
    <xf numFmtId="0" fontId="35" fillId="0" borderId="65" xfId="0" applyFont="1" applyFill="1" applyBorder="1" applyAlignment="1">
      <alignment horizontal="right" vertical="top"/>
    </xf>
    <xf numFmtId="182" fontId="34" fillId="0" borderId="65" xfId="1" applyNumberFormat="1" applyFont="1" applyFill="1" applyBorder="1" applyAlignment="1">
      <alignment horizontal="right"/>
    </xf>
    <xf numFmtId="3" fontId="35" fillId="0" borderId="65" xfId="0" applyNumberFormat="1" applyFont="1" applyFill="1" applyBorder="1" applyAlignment="1">
      <alignment horizontal="right" vertical="top" wrapText="1"/>
    </xf>
    <xf numFmtId="3" fontId="35" fillId="0" borderId="65" xfId="0" applyNumberFormat="1" applyFont="1" applyFill="1" applyBorder="1" applyAlignment="1">
      <alignment horizontal="right" vertical="top"/>
    </xf>
    <xf numFmtId="3" fontId="34" fillId="0" borderId="65" xfId="1" applyNumberFormat="1" applyFont="1" applyFill="1" applyBorder="1" applyAlignment="1">
      <alignment horizontal="right"/>
    </xf>
    <xf numFmtId="181" fontId="75" fillId="0" borderId="65" xfId="0" applyNumberFormat="1" applyFont="1" applyFill="1" applyBorder="1"/>
    <xf numFmtId="3" fontId="36" fillId="0" borderId="65" xfId="0" applyNumberFormat="1" applyFont="1" applyFill="1" applyBorder="1" applyAlignment="1">
      <alignment horizontal="right" vertical="top" wrapText="1"/>
    </xf>
    <xf numFmtId="3" fontId="45" fillId="0" borderId="65" xfId="1" applyNumberFormat="1" applyFont="1" applyFill="1" applyBorder="1" applyAlignment="1">
      <alignment horizontal="right"/>
    </xf>
    <xf numFmtId="0" fontId="59" fillId="0" borderId="83" xfId="0" applyNumberFormat="1" applyFont="1" applyFill="1" applyBorder="1" applyAlignment="1">
      <alignment vertical="center"/>
    </xf>
    <xf numFmtId="3" fontId="46" fillId="0" borderId="83" xfId="0" applyNumberFormat="1" applyFont="1" applyFill="1" applyBorder="1" applyAlignment="1">
      <alignment horizontal="right" vertical="top"/>
    </xf>
    <xf numFmtId="0" fontId="46" fillId="0" borderId="92" xfId="0" applyFont="1" applyFill="1" applyBorder="1" applyAlignment="1">
      <alignment vertical="top"/>
    </xf>
    <xf numFmtId="0" fontId="67" fillId="0" borderId="92" xfId="0" applyFont="1" applyFill="1" applyBorder="1" applyAlignment="1">
      <alignment horizontal="center" vertical="top"/>
    </xf>
    <xf numFmtId="0" fontId="67" fillId="0" borderId="93" xfId="0" applyFont="1" applyFill="1" applyBorder="1" applyAlignment="1">
      <alignment horizontal="center" vertical="top"/>
    </xf>
    <xf numFmtId="0" fontId="46" fillId="0" borderId="91" xfId="0" applyFont="1" applyFill="1" applyBorder="1" applyAlignment="1">
      <alignment horizontal="right" vertical="top"/>
    </xf>
    <xf numFmtId="0" fontId="46" fillId="0" borderId="108" xfId="0" applyFont="1" applyFill="1" applyBorder="1" applyAlignment="1">
      <alignment horizontal="left" vertical="top"/>
    </xf>
    <xf numFmtId="0" fontId="46" fillId="0" borderId="83" xfId="0" applyFont="1" applyFill="1" applyBorder="1" applyAlignment="1">
      <alignment horizontal="left" vertical="top"/>
    </xf>
    <xf numFmtId="0" fontId="67" fillId="0" borderId="83" xfId="0" applyFont="1" applyFill="1" applyBorder="1" applyAlignment="1">
      <alignment horizontal="center" vertical="top"/>
    </xf>
    <xf numFmtId="182" fontId="66" fillId="0" borderId="83" xfId="0" applyNumberFormat="1" applyFont="1" applyFill="1" applyBorder="1" applyAlignment="1">
      <alignment horizontal="left" vertical="top"/>
    </xf>
    <xf numFmtId="3" fontId="66" fillId="0" borderId="83" xfId="0" applyNumberFormat="1" applyFont="1" applyFill="1" applyBorder="1" applyAlignment="1">
      <alignment horizontal="right" vertical="top"/>
    </xf>
    <xf numFmtId="3" fontId="66" fillId="0" borderId="83" xfId="1" applyNumberFormat="1" applyFont="1" applyFill="1" applyBorder="1" applyAlignment="1">
      <alignment horizontal="right" vertical="top"/>
    </xf>
    <xf numFmtId="3" fontId="66" fillId="0" borderId="108" xfId="0" applyNumberFormat="1" applyFont="1" applyFill="1" applyBorder="1" applyAlignment="1">
      <alignment horizontal="right" vertical="top"/>
    </xf>
    <xf numFmtId="182" fontId="46" fillId="0" borderId="65" xfId="0" applyNumberFormat="1" applyFont="1" applyFill="1" applyBorder="1" applyAlignment="1">
      <alignment horizontal="left" vertical="top"/>
    </xf>
    <xf numFmtId="0" fontId="46" fillId="0" borderId="108" xfId="0" applyFont="1" applyFill="1" applyBorder="1" applyAlignment="1">
      <alignment horizontal="left" vertical="top" wrapText="1"/>
    </xf>
    <xf numFmtId="3" fontId="46" fillId="0" borderId="83" xfId="0" applyNumberFormat="1" applyFont="1" applyFill="1" applyBorder="1" applyAlignment="1">
      <alignment horizontal="right" vertical="top" wrapText="1"/>
    </xf>
    <xf numFmtId="182" fontId="46" fillId="0" borderId="65" xfId="0" applyNumberFormat="1" applyFont="1" applyFill="1" applyBorder="1" applyAlignment="1">
      <alignment horizontal="left" vertical="top" wrapText="1"/>
    </xf>
    <xf numFmtId="182" fontId="66" fillId="0" borderId="108" xfId="0" applyNumberFormat="1" applyFont="1" applyFill="1" applyBorder="1" applyAlignment="1">
      <alignment horizontal="left" vertical="top"/>
    </xf>
    <xf numFmtId="3" fontId="66" fillId="0" borderId="108" xfId="1" applyNumberFormat="1" applyFont="1" applyFill="1" applyBorder="1" applyAlignment="1">
      <alignment horizontal="right" vertical="top"/>
    </xf>
    <xf numFmtId="181" fontId="35" fillId="0" borderId="91" xfId="0" applyNumberFormat="1" applyFont="1" applyFill="1" applyBorder="1" applyAlignment="1">
      <alignment horizontal="right" vertical="top" wrapText="1"/>
    </xf>
    <xf numFmtId="181" fontId="35" fillId="0" borderId="109" xfId="0" applyNumberFormat="1" applyFont="1" applyFill="1" applyBorder="1" applyAlignment="1">
      <alignment horizontal="right" vertical="top" wrapText="1"/>
    </xf>
    <xf numFmtId="182" fontId="46" fillId="0" borderId="110" xfId="0" applyNumberFormat="1" applyFont="1" applyFill="1" applyBorder="1" applyAlignment="1">
      <alignment horizontal="left" vertical="top"/>
    </xf>
    <xf numFmtId="3" fontId="46" fillId="0" borderId="110" xfId="0" applyNumberFormat="1" applyFont="1" applyFill="1" applyBorder="1" applyAlignment="1">
      <alignment horizontal="right" vertical="top"/>
    </xf>
    <xf numFmtId="3" fontId="46" fillId="0" borderId="110" xfId="1" applyNumberFormat="1" applyFont="1" applyFill="1" applyBorder="1" applyAlignment="1">
      <alignment horizontal="right" vertical="top"/>
    </xf>
    <xf numFmtId="0" fontId="46" fillId="0" borderId="83" xfId="0" applyFont="1" applyFill="1" applyBorder="1" applyAlignment="1">
      <alignment horizontal="right" vertical="top"/>
    </xf>
    <xf numFmtId="182" fontId="46" fillId="0" borderId="92" xfId="0" applyNumberFormat="1" applyFont="1" applyFill="1" applyBorder="1" applyAlignment="1">
      <alignment horizontal="left" vertical="top" wrapText="1"/>
    </xf>
    <xf numFmtId="182" fontId="46" fillId="0" borderId="93" xfId="0" applyNumberFormat="1" applyFont="1" applyFill="1" applyBorder="1" applyAlignment="1">
      <alignment horizontal="left" vertical="top" wrapText="1"/>
    </xf>
    <xf numFmtId="3" fontId="66" fillId="0" borderId="91" xfId="0" applyNumberFormat="1" applyFont="1" applyFill="1" applyBorder="1" applyAlignment="1">
      <alignment horizontal="right" vertical="top"/>
    </xf>
    <xf numFmtId="3" fontId="34" fillId="0" borderId="65" xfId="1" quotePrefix="1" applyNumberFormat="1" applyFont="1" applyFill="1" applyBorder="1" applyAlignment="1">
      <alignment horizontal="right"/>
    </xf>
    <xf numFmtId="3" fontId="66" fillId="0" borderId="31" xfId="0" applyNumberFormat="1" applyFont="1" applyFill="1" applyBorder="1" applyAlignment="1">
      <alignment horizontal="right" vertical="top"/>
    </xf>
    <xf numFmtId="182" fontId="46" fillId="0" borderId="83" xfId="0" applyNumberFormat="1" applyFont="1" applyFill="1" applyBorder="1" applyAlignment="1">
      <alignment horizontal="left" vertical="top"/>
    </xf>
    <xf numFmtId="0" fontId="66" fillId="0" borderId="65" xfId="0" applyFont="1" applyFill="1" applyBorder="1" applyAlignment="1">
      <alignment horizontal="left" vertical="top"/>
    </xf>
    <xf numFmtId="3" fontId="66" fillId="0" borderId="65" xfId="0" applyNumberFormat="1" applyFont="1" applyFill="1" applyBorder="1" applyAlignment="1">
      <alignment horizontal="right" vertical="top"/>
    </xf>
    <xf numFmtId="3" fontId="45" fillId="0" borderId="83" xfId="1" quotePrefix="1" applyNumberFormat="1" applyFont="1" applyFill="1" applyBorder="1" applyAlignment="1">
      <alignment horizontal="right"/>
    </xf>
    <xf numFmtId="0" fontId="66" fillId="0" borderId="91" xfId="0" applyFont="1" applyFill="1" applyBorder="1" applyAlignment="1">
      <alignment horizontal="left" vertical="top"/>
    </xf>
    <xf numFmtId="3" fontId="66" fillId="0" borderId="93" xfId="0" applyNumberFormat="1" applyFont="1" applyFill="1" applyBorder="1" applyAlignment="1">
      <alignment horizontal="right" vertical="top"/>
    </xf>
    <xf numFmtId="3" fontId="34" fillId="0" borderId="83" xfId="1" quotePrefix="1" applyNumberFormat="1" applyFont="1" applyFill="1" applyBorder="1" applyAlignment="1">
      <alignment horizontal="right"/>
    </xf>
    <xf numFmtId="0" fontId="46" fillId="0" borderId="65" xfId="0" applyFont="1" applyFill="1" applyBorder="1" applyAlignment="1">
      <alignment horizontal="left" vertical="top"/>
    </xf>
    <xf numFmtId="182" fontId="46" fillId="0" borderId="83" xfId="0" applyNumberFormat="1" applyFont="1" applyFill="1" applyBorder="1" applyAlignment="1">
      <alignment horizontal="center" vertical="top"/>
    </xf>
    <xf numFmtId="182" fontId="46" fillId="0" borderId="0" xfId="0" applyNumberFormat="1" applyFont="1" applyFill="1" applyBorder="1" applyAlignment="1">
      <alignment horizontal="center" vertical="top"/>
    </xf>
    <xf numFmtId="181" fontId="66" fillId="0" borderId="83" xfId="0" applyNumberFormat="1" applyFont="1" applyFill="1" applyBorder="1" applyAlignment="1">
      <alignment horizontal="center" vertical="top"/>
    </xf>
    <xf numFmtId="3" fontId="66" fillId="0" borderId="83" xfId="0" applyNumberFormat="1" applyFont="1" applyFill="1" applyBorder="1" applyAlignment="1">
      <alignment vertical="top"/>
    </xf>
    <xf numFmtId="3" fontId="66" fillId="0" borderId="65" xfId="1" applyNumberFormat="1" applyFont="1" applyFill="1" applyBorder="1" applyAlignment="1">
      <alignment horizontal="right" vertical="top"/>
    </xf>
    <xf numFmtId="181" fontId="35" fillId="0" borderId="110" xfId="0" applyNumberFormat="1" applyFont="1" applyFill="1" applyBorder="1" applyAlignment="1">
      <alignment horizontal="right" vertical="top" wrapText="1"/>
    </xf>
    <xf numFmtId="3" fontId="46" fillId="0" borderId="109" xfId="0" applyNumberFormat="1" applyFont="1" applyFill="1" applyBorder="1" applyAlignment="1">
      <alignment horizontal="right" vertical="top"/>
    </xf>
    <xf numFmtId="3" fontId="46" fillId="0" borderId="104" xfId="0" applyNumberFormat="1" applyFont="1" applyFill="1" applyBorder="1" applyAlignment="1">
      <alignment horizontal="right" vertical="top"/>
    </xf>
    <xf numFmtId="3" fontId="46" fillId="0" borderId="110" xfId="0" applyNumberFormat="1" applyFont="1" applyFill="1" applyBorder="1" applyAlignment="1">
      <alignment vertical="top"/>
    </xf>
    <xf numFmtId="3" fontId="46" fillId="0" borderId="103" xfId="0" applyNumberFormat="1" applyFont="1" applyFill="1" applyBorder="1" applyAlignment="1">
      <alignment horizontal="right" vertical="top"/>
    </xf>
    <xf numFmtId="3" fontId="46" fillId="0" borderId="103" xfId="1" applyNumberFormat="1" applyFont="1" applyFill="1" applyBorder="1" applyAlignment="1">
      <alignment horizontal="right" vertical="top"/>
    </xf>
    <xf numFmtId="182" fontId="46" fillId="0" borderId="91" xfId="0" applyNumberFormat="1" applyFont="1" applyFill="1" applyBorder="1" applyAlignment="1">
      <alignment vertical="top"/>
    </xf>
    <xf numFmtId="182" fontId="46" fillId="0" borderId="92" xfId="0" applyNumberFormat="1" applyFont="1" applyFill="1" applyBorder="1" applyAlignment="1">
      <alignment vertical="top"/>
    </xf>
    <xf numFmtId="182" fontId="46" fillId="0" borderId="92" xfId="0" applyNumberFormat="1" applyFont="1" applyFill="1" applyBorder="1" applyAlignment="1">
      <alignment horizontal="center" vertical="top"/>
    </xf>
    <xf numFmtId="3" fontId="66" fillId="0" borderId="65" xfId="0" applyNumberFormat="1" applyFont="1" applyFill="1" applyBorder="1" applyAlignment="1">
      <alignment horizontal="left" vertical="top"/>
    </xf>
    <xf numFmtId="3" fontId="34" fillId="0" borderId="93" xfId="1" quotePrefix="1" applyNumberFormat="1" applyFont="1" applyFill="1" applyBorder="1" applyAlignment="1">
      <alignment horizontal="right"/>
    </xf>
    <xf numFmtId="3" fontId="66" fillId="0" borderId="91" xfId="0" applyNumberFormat="1" applyFont="1" applyFill="1" applyBorder="1" applyAlignment="1">
      <alignment horizontal="left" vertical="top"/>
    </xf>
    <xf numFmtId="3" fontId="66" fillId="0" borderId="83" xfId="0" applyNumberFormat="1" applyFont="1" applyFill="1" applyBorder="1" applyAlignment="1">
      <alignment horizontal="left" vertical="top"/>
    </xf>
    <xf numFmtId="3" fontId="46" fillId="0" borderId="83" xfId="0" applyNumberFormat="1" applyFont="1" applyFill="1" applyBorder="1" applyAlignment="1">
      <alignment horizontal="left" vertical="top"/>
    </xf>
    <xf numFmtId="3" fontId="66" fillId="0" borderId="108" xfId="0" applyNumberFormat="1" applyFont="1" applyFill="1" applyBorder="1" applyAlignment="1">
      <alignment horizontal="left" vertical="top"/>
    </xf>
    <xf numFmtId="181" fontId="36" fillId="0" borderId="31" xfId="0" applyNumberFormat="1" applyFont="1" applyFill="1" applyBorder="1" applyAlignment="1">
      <alignment horizontal="right" vertical="top" wrapText="1"/>
    </xf>
    <xf numFmtId="3" fontId="46" fillId="0" borderId="0" xfId="0" applyNumberFormat="1" applyFont="1" applyFill="1" applyBorder="1" applyAlignment="1">
      <alignment horizontal="left" vertical="top"/>
    </xf>
    <xf numFmtId="3" fontId="75" fillId="0" borderId="0" xfId="0" applyNumberFormat="1" applyFont="1" applyFill="1" applyBorder="1"/>
    <xf numFmtId="3" fontId="34" fillId="0" borderId="0" xfId="1" quotePrefix="1" applyNumberFormat="1" applyFont="1" applyFill="1" applyBorder="1" applyAlignment="1">
      <alignment horizontal="right"/>
    </xf>
    <xf numFmtId="181" fontId="35" fillId="0" borderId="103" xfId="0" applyNumberFormat="1" applyFont="1" applyFill="1" applyBorder="1" applyAlignment="1">
      <alignment horizontal="right" vertical="top" wrapText="1"/>
    </xf>
    <xf numFmtId="3" fontId="46" fillId="0" borderId="103" xfId="0" applyNumberFormat="1" applyFont="1" applyFill="1" applyBorder="1" applyAlignment="1">
      <alignment horizontal="left" vertical="top"/>
    </xf>
    <xf numFmtId="182" fontId="66" fillId="0" borderId="0" xfId="0" applyNumberFormat="1" applyFont="1" applyFill="1" applyBorder="1" applyAlignment="1">
      <alignment horizontal="right" vertical="top"/>
    </xf>
    <xf numFmtId="0" fontId="34" fillId="0" borderId="0" xfId="0" applyNumberFormat="1" applyFont="1" applyFill="1" applyAlignment="1">
      <alignment horizontal="left" wrapText="1"/>
    </xf>
    <xf numFmtId="181" fontId="66" fillId="0" borderId="0" xfId="0" applyNumberFormat="1" applyFont="1" applyFill="1" applyBorder="1" applyAlignment="1">
      <alignment horizontal="right" vertical="top"/>
    </xf>
    <xf numFmtId="0" fontId="75" fillId="0" borderId="0" xfId="0" applyNumberFormat="1" applyFont="1" applyFill="1"/>
    <xf numFmtId="200" fontId="75" fillId="0" borderId="0" xfId="0" applyNumberFormat="1" applyFont="1" applyFill="1"/>
    <xf numFmtId="197" fontId="75" fillId="0" borderId="0" xfId="0" applyNumberFormat="1" applyFont="1" applyFill="1"/>
    <xf numFmtId="3" fontId="34" fillId="0" borderId="111" xfId="1" quotePrefix="1" applyNumberFormat="1" applyFont="1" applyFill="1" applyBorder="1" applyAlignment="1">
      <alignment horizontal="right"/>
    </xf>
    <xf numFmtId="0" fontId="13" fillId="0" borderId="0" xfId="0" applyFont="1" applyFill="1" applyAlignment="1">
      <alignment wrapText="1"/>
    </xf>
    <xf numFmtId="184" fontId="74" fillId="0" borderId="28" xfId="65" applyFont="1" applyBorder="1" applyAlignment="1">
      <alignment horizontal="justify" vertical="top" wrapText="1"/>
    </xf>
    <xf numFmtId="177" fontId="0" fillId="0" borderId="0" xfId="0" applyNumberFormat="1" applyFill="1"/>
    <xf numFmtId="184" fontId="74" fillId="0" borderId="31" xfId="65" applyFont="1" applyBorder="1" applyAlignment="1">
      <alignment horizontal="justify" vertical="top" wrapText="1"/>
    </xf>
    <xf numFmtId="184" fontId="74" fillId="0" borderId="55" xfId="65" applyFont="1" applyBorder="1" applyAlignment="1">
      <alignment vertical="center" wrapText="1"/>
    </xf>
    <xf numFmtId="4" fontId="0" fillId="0" borderId="0" xfId="0" applyNumberFormat="1" applyFill="1"/>
    <xf numFmtId="0" fontId="79" fillId="0" borderId="0" xfId="0" applyFont="1"/>
    <xf numFmtId="4" fontId="80" fillId="0" borderId="0" xfId="0" applyNumberFormat="1" applyFont="1"/>
    <xf numFmtId="184" fontId="74" fillId="0" borderId="55" xfId="65" applyFont="1" applyBorder="1" applyAlignment="1">
      <alignment vertical="top" wrapText="1"/>
    </xf>
    <xf numFmtId="166" fontId="44" fillId="0" borderId="55" xfId="26" applyNumberFormat="1" applyFont="1" applyFill="1" applyBorder="1" applyAlignment="1">
      <alignment horizontal="right" wrapText="1"/>
    </xf>
    <xf numFmtId="184" fontId="74" fillId="0" borderId="28" xfId="65" applyFont="1" applyBorder="1" applyAlignment="1">
      <alignment vertical="top" wrapText="1"/>
    </xf>
    <xf numFmtId="184" fontId="74" fillId="0" borderId="31" xfId="65" applyFont="1" applyBorder="1" applyAlignment="1">
      <alignment vertical="top" wrapText="1"/>
    </xf>
    <xf numFmtId="3" fontId="44" fillId="0" borderId="55" xfId="0" applyNumberFormat="1" applyFont="1" applyFill="1" applyBorder="1" applyAlignment="1">
      <alignment horizontal="right" vertical="top" wrapText="1"/>
    </xf>
    <xf numFmtId="184" fontId="45" fillId="0" borderId="0" xfId="65" applyFont="1" applyAlignment="1">
      <alignment horizontal="left" vertical="center" wrapText="1"/>
    </xf>
    <xf numFmtId="184" fontId="34" fillId="0" borderId="0" xfId="65" applyFont="1" applyAlignment="1">
      <alignment horizontal="left" vertical="center" wrapText="1"/>
    </xf>
    <xf numFmtId="184" fontId="69" fillId="0" borderId="0" xfId="65" applyFont="1" applyAlignment="1">
      <alignment vertical="center"/>
    </xf>
    <xf numFmtId="184" fontId="45" fillId="0" borderId="0" xfId="65" applyFont="1" applyAlignment="1">
      <alignment vertical="center"/>
    </xf>
    <xf numFmtId="184" fontId="58" fillId="0" borderId="0" xfId="65" applyFont="1"/>
    <xf numFmtId="0" fontId="81" fillId="0" borderId="0" xfId="0" applyFont="1" applyFill="1"/>
    <xf numFmtId="3" fontId="36" fillId="0" borderId="92" xfId="0" applyNumberFormat="1" applyFont="1" applyFill="1" applyBorder="1" applyAlignment="1">
      <alignment horizontal="right" vertical="top" wrapText="1"/>
    </xf>
    <xf numFmtId="3" fontId="45" fillId="0" borderId="92" xfId="1" applyNumberFormat="1" applyFont="1" applyFill="1" applyBorder="1" applyAlignment="1">
      <alignment horizontal="right"/>
    </xf>
    <xf numFmtId="3" fontId="45" fillId="0" borderId="93" xfId="1" applyNumberFormat="1" applyFont="1" applyFill="1" applyBorder="1" applyAlignment="1">
      <alignment horizontal="right"/>
    </xf>
    <xf numFmtId="0" fontId="36" fillId="0" borderId="91" xfId="0" applyFont="1" applyFill="1" applyBorder="1" applyAlignment="1">
      <alignment horizontal="left"/>
    </xf>
    <xf numFmtId="2" fontId="76" fillId="0" borderId="0" xfId="0" applyNumberFormat="1" applyFont="1" applyFill="1"/>
    <xf numFmtId="166" fontId="34" fillId="0" borderId="0" xfId="0" applyNumberFormat="1" applyFont="1" applyFill="1" applyBorder="1"/>
    <xf numFmtId="180" fontId="34" fillId="0" borderId="0" xfId="0" applyNumberFormat="1" applyFont="1" applyFill="1"/>
    <xf numFmtId="181" fontId="35" fillId="0" borderId="0" xfId="1" applyNumberFormat="1" applyFont="1" applyFill="1" applyBorder="1" applyAlignment="1">
      <alignment horizontal="right" vertical="top"/>
    </xf>
    <xf numFmtId="0" fontId="20" fillId="0" borderId="65" xfId="10" applyFont="1" applyFill="1" applyBorder="1" applyAlignment="1">
      <alignment horizontal="center" vertical="center"/>
    </xf>
    <xf numFmtId="1" fontId="20" fillId="0" borderId="65" xfId="10" applyNumberFormat="1" applyFont="1" applyFill="1" applyBorder="1" applyAlignment="1">
      <alignment horizontal="left" vertical="center" wrapText="1" indent="1"/>
    </xf>
    <xf numFmtId="166" fontId="23" fillId="0" borderId="43" xfId="0" applyNumberFormat="1" applyFont="1" applyFill="1" applyBorder="1" applyAlignment="1">
      <alignment horizontal="right"/>
    </xf>
    <xf numFmtId="165" fontId="47" fillId="0" borderId="65" xfId="0" applyNumberFormat="1" applyFont="1" applyFill="1" applyBorder="1" applyAlignment="1">
      <alignment horizontal="right"/>
    </xf>
    <xf numFmtId="165" fontId="48" fillId="0" borderId="65" xfId="0" applyNumberFormat="1" applyFont="1" applyFill="1" applyBorder="1" applyAlignment="1">
      <alignment horizontal="right"/>
    </xf>
    <xf numFmtId="0" fontId="22" fillId="0" borderId="65" xfId="0" applyFont="1" applyFill="1" applyBorder="1" applyAlignment="1">
      <alignment vertical="center"/>
    </xf>
    <xf numFmtId="0" fontId="22" fillId="0" borderId="65" xfId="0" applyFont="1" applyFill="1" applyBorder="1" applyAlignment="1">
      <alignment horizontal="left" vertical="center" wrapText="1"/>
    </xf>
    <xf numFmtId="49" fontId="82" fillId="2" borderId="66" xfId="0" applyNumberFormat="1" applyFont="1" applyFill="1" applyBorder="1" applyAlignment="1">
      <alignment horizontal="left"/>
    </xf>
    <xf numFmtId="165" fontId="82" fillId="2" borderId="66" xfId="0" applyNumberFormat="1" applyFont="1" applyFill="1" applyBorder="1" applyAlignment="1">
      <alignment horizontal="right"/>
    </xf>
    <xf numFmtId="0" fontId="82" fillId="2" borderId="66" xfId="0" applyFont="1" applyFill="1" applyBorder="1" applyAlignment="1">
      <alignment horizontal="right"/>
    </xf>
    <xf numFmtId="171" fontId="82" fillId="2" borderId="66" xfId="0" applyNumberFormat="1" applyFont="1" applyFill="1" applyBorder="1" applyAlignment="1">
      <alignment horizontal="right"/>
    </xf>
    <xf numFmtId="0" fontId="83" fillId="2" borderId="0" xfId="0" applyFont="1" applyFill="1" applyAlignment="1">
      <alignment vertical="center"/>
    </xf>
    <xf numFmtId="0" fontId="45" fillId="0" borderId="65" xfId="0" applyNumberFormat="1" applyFont="1" applyFill="1" applyBorder="1" applyAlignment="1">
      <alignment horizontal="center" vertical="center"/>
    </xf>
    <xf numFmtId="0" fontId="45" fillId="8" borderId="94" xfId="0" applyNumberFormat="1" applyFont="1" applyFill="1" applyBorder="1" applyAlignment="1">
      <alignment horizontal="center" vertical="center" wrapText="1"/>
    </xf>
    <xf numFmtId="0" fontId="36" fillId="8" borderId="65" xfId="22" applyFont="1" applyFill="1" applyBorder="1" applyAlignment="1">
      <alignment horizontal="center" vertical="center" wrapText="1"/>
    </xf>
    <xf numFmtId="0" fontId="45" fillId="8" borderId="65" xfId="0" applyNumberFormat="1" applyFont="1" applyFill="1" applyBorder="1" applyAlignment="1">
      <alignment horizontal="center" vertical="center" wrapText="1"/>
    </xf>
    <xf numFmtId="0" fontId="46" fillId="5" borderId="0" xfId="0" applyNumberFormat="1" applyFont="1" applyFill="1" applyBorder="1" applyAlignment="1">
      <alignment horizontal="left" vertical="center"/>
    </xf>
    <xf numFmtId="0" fontId="45" fillId="0" borderId="65" xfId="0" applyNumberFormat="1" applyFont="1" applyFill="1" applyBorder="1" applyAlignment="1">
      <alignment horizontal="center" vertical="center" wrapText="1"/>
    </xf>
    <xf numFmtId="0" fontId="34" fillId="0" borderId="0" xfId="0" applyFont="1" applyFill="1" applyAlignment="1">
      <alignment horizontal="left"/>
    </xf>
    <xf numFmtId="0" fontId="72" fillId="8" borderId="65" xfId="22" applyFont="1" applyFill="1" applyBorder="1" applyAlignment="1">
      <alignment horizontal="center" vertical="center" wrapText="1"/>
    </xf>
    <xf numFmtId="0" fontId="69" fillId="8" borderId="65" xfId="0" applyNumberFormat="1" applyFont="1" applyFill="1" applyBorder="1" applyAlignment="1">
      <alignment horizontal="center" vertical="center" wrapText="1"/>
    </xf>
    <xf numFmtId="181" fontId="36" fillId="0" borderId="91" xfId="0" applyNumberFormat="1" applyFont="1" applyFill="1" applyBorder="1" applyAlignment="1">
      <alignment horizontal="left" vertical="top" wrapText="1"/>
    </xf>
    <xf numFmtId="181" fontId="36" fillId="0" borderId="65" xfId="0" applyNumberFormat="1" applyFont="1" applyFill="1" applyBorder="1" applyAlignment="1">
      <alignment horizontal="left" vertical="top" wrapText="1"/>
    </xf>
    <xf numFmtId="182" fontId="36" fillId="0" borderId="65" xfId="0" applyNumberFormat="1" applyFont="1" applyFill="1" applyBorder="1" applyAlignment="1">
      <alignment horizontal="left" vertical="top" wrapText="1"/>
    </xf>
    <xf numFmtId="0" fontId="59" fillId="0" borderId="0" xfId="0" applyNumberFormat="1" applyFont="1" applyFill="1" applyBorder="1" applyAlignment="1">
      <alignment horizontal="left" vertical="center"/>
    </xf>
    <xf numFmtId="0" fontId="36" fillId="0" borderId="92" xfId="0" applyFont="1" applyFill="1" applyBorder="1" applyAlignment="1">
      <alignment horizontal="center"/>
    </xf>
    <xf numFmtId="0" fontId="36" fillId="0" borderId="93" xfId="0" applyFont="1" applyFill="1" applyBorder="1" applyAlignment="1">
      <alignment horizontal="center"/>
    </xf>
    <xf numFmtId="0" fontId="36" fillId="0" borderId="65" xfId="0" applyFont="1" applyFill="1" applyBorder="1" applyAlignment="1">
      <alignment horizontal="center" vertical="center" wrapText="1"/>
    </xf>
    <xf numFmtId="182" fontId="67" fillId="0" borderId="92" xfId="0" applyNumberFormat="1" applyFont="1" applyFill="1" applyBorder="1" applyAlignment="1">
      <alignment horizontal="center" vertical="top"/>
    </xf>
    <xf numFmtId="0" fontId="34" fillId="0" borderId="0" xfId="0" applyNumberFormat="1" applyFont="1" applyFill="1" applyAlignment="1">
      <alignment horizontal="left" vertical="top" wrapText="1"/>
    </xf>
    <xf numFmtId="182" fontId="67" fillId="0" borderId="83" xfId="0" applyNumberFormat="1" applyFont="1" applyFill="1" applyBorder="1" applyAlignment="1">
      <alignment horizontal="center" vertical="top"/>
    </xf>
    <xf numFmtId="1" fontId="35" fillId="0" borderId="103" xfId="0" applyNumberFormat="1" applyFont="1" applyFill="1" applyBorder="1" applyAlignment="1">
      <alignment horizontal="right"/>
    </xf>
    <xf numFmtId="3" fontId="34" fillId="0" borderId="0" xfId="0" applyNumberFormat="1" applyFont="1"/>
    <xf numFmtId="181" fontId="84" fillId="0" borderId="0" xfId="0" applyNumberFormat="1" applyFont="1"/>
    <xf numFmtId="203" fontId="84" fillId="0" borderId="0" xfId="0" applyNumberFormat="1" applyFont="1"/>
    <xf numFmtId="1" fontId="84" fillId="0" borderId="0" xfId="0" applyNumberFormat="1" applyFont="1" applyFill="1"/>
    <xf numFmtId="0" fontId="45" fillId="0" borderId="65" xfId="0" applyNumberFormat="1" applyFont="1" applyFill="1" applyBorder="1" applyAlignment="1">
      <alignment horizontal="center"/>
    </xf>
    <xf numFmtId="0" fontId="34" fillId="0" borderId="0" xfId="0" applyNumberFormat="1" applyFont="1" applyFill="1" applyAlignment="1">
      <alignment horizontal="center"/>
    </xf>
    <xf numFmtId="0" fontId="45" fillId="0" borderId="65" xfId="0" applyNumberFormat="1" applyFont="1" applyFill="1" applyBorder="1" applyAlignment="1">
      <alignment vertical="center" wrapText="1"/>
    </xf>
    <xf numFmtId="181" fontId="45" fillId="0" borderId="0" xfId="0" applyNumberFormat="1" applyFont="1" applyFill="1"/>
    <xf numFmtId="178" fontId="35" fillId="10" borderId="0" xfId="0" applyNumberFormat="1" applyFont="1" applyFill="1" applyBorder="1" applyAlignment="1">
      <alignment horizontal="left"/>
    </xf>
    <xf numFmtId="181" fontId="35" fillId="10" borderId="0" xfId="1" applyNumberFormat="1" applyFont="1" applyFill="1" applyBorder="1" applyAlignment="1">
      <alignment horizontal="right" vertical="top"/>
    </xf>
    <xf numFmtId="0" fontId="60" fillId="0" borderId="0" xfId="0" applyFont="1" applyFill="1"/>
    <xf numFmtId="0" fontId="62" fillId="0" borderId="0" xfId="0" applyNumberFormat="1" applyFont="1" applyFill="1"/>
    <xf numFmtId="164" fontId="34" fillId="0" borderId="0" xfId="0" applyNumberFormat="1" applyFont="1" applyFill="1"/>
    <xf numFmtId="195" fontId="34" fillId="0" borderId="0" xfId="0" applyNumberFormat="1" applyFont="1" applyFill="1"/>
    <xf numFmtId="166" fontId="34" fillId="0" borderId="0" xfId="0" applyNumberFormat="1" applyFont="1" applyFill="1"/>
    <xf numFmtId="2" fontId="34" fillId="0" borderId="0" xfId="0" applyNumberFormat="1" applyFont="1" applyFill="1"/>
    <xf numFmtId="188" fontId="34" fillId="0" borderId="65" xfId="0" applyNumberFormat="1" applyFont="1" applyFill="1" applyBorder="1" applyAlignment="1">
      <alignment horizontal="right"/>
    </xf>
    <xf numFmtId="194" fontId="85" fillId="0" borderId="0" xfId="4" applyNumberFormat="1" applyFont="1" applyFill="1" applyBorder="1" applyAlignment="1">
      <alignment horizontal="right" vertical="top"/>
    </xf>
    <xf numFmtId="188" fontId="34" fillId="0" borderId="65" xfId="1" applyNumberFormat="1" applyFont="1" applyFill="1" applyBorder="1" applyAlignment="1"/>
    <xf numFmtId="0" fontId="68" fillId="10" borderId="0" xfId="0" applyFont="1" applyFill="1"/>
    <xf numFmtId="166" fontId="87" fillId="0" borderId="0" xfId="0" applyNumberFormat="1" applyFont="1"/>
    <xf numFmtId="3" fontId="74" fillId="0" borderId="0" xfId="1" applyNumberFormat="1" applyFont="1" applyFill="1" applyBorder="1" applyAlignment="1"/>
    <xf numFmtId="17" fontId="74" fillId="0" borderId="0" xfId="0" applyNumberFormat="1" applyFont="1" applyFill="1" applyBorder="1" applyAlignment="1">
      <alignment horizontal="left" vertical="center"/>
    </xf>
    <xf numFmtId="3" fontId="73" fillId="0" borderId="0" xfId="4" applyNumberFormat="1" applyFont="1" applyFill="1" applyBorder="1" applyAlignment="1">
      <alignment vertical="top"/>
    </xf>
    <xf numFmtId="0" fontId="34" fillId="10" borderId="0" xfId="0" applyNumberFormat="1" applyFont="1" applyFill="1"/>
    <xf numFmtId="0" fontId="75" fillId="0" borderId="0" xfId="0" applyFont="1" applyAlignment="1">
      <alignment horizontal="right"/>
    </xf>
    <xf numFmtId="181" fontId="36" fillId="0" borderId="103" xfId="0" applyNumberFormat="1" applyFont="1" applyFill="1" applyBorder="1" applyAlignment="1">
      <alignment horizontal="left" vertical="top" wrapText="1"/>
    </xf>
    <xf numFmtId="181" fontId="45" fillId="0" borderId="103" xfId="1" applyNumberFormat="1" applyFont="1" applyFill="1" applyBorder="1" applyAlignment="1">
      <alignment horizontal="right"/>
    </xf>
    <xf numFmtId="166" fontId="89" fillId="0" borderId="0" xfId="0" applyNumberFormat="1" applyFont="1"/>
    <xf numFmtId="181" fontId="36" fillId="0" borderId="103" xfId="1" applyNumberFormat="1" applyFont="1" applyFill="1" applyBorder="1" applyAlignment="1">
      <alignment horizontal="right" vertical="top"/>
    </xf>
    <xf numFmtId="181" fontId="36" fillId="5" borderId="103" xfId="1" applyNumberFormat="1" applyFont="1" applyFill="1" applyBorder="1" applyAlignment="1">
      <alignment horizontal="right" vertical="top"/>
    </xf>
    <xf numFmtId="181" fontId="36" fillId="0" borderId="55" xfId="0" applyNumberFormat="1" applyFont="1" applyFill="1" applyBorder="1" applyAlignment="1">
      <alignment horizontal="left" vertical="top" wrapText="1"/>
    </xf>
    <xf numFmtId="181" fontId="36" fillId="0" borderId="55" xfId="1" applyNumberFormat="1" applyFont="1" applyFill="1" applyBorder="1" applyAlignment="1">
      <alignment horizontal="right" vertical="top"/>
    </xf>
    <xf numFmtId="181" fontId="36" fillId="5" borderId="55" xfId="1" applyNumberFormat="1" applyFont="1" applyFill="1" applyBorder="1" applyAlignment="1">
      <alignment horizontal="right" vertical="top"/>
    </xf>
    <xf numFmtId="181" fontId="36" fillId="0" borderId="103" xfId="0" applyNumberFormat="1" applyFont="1" applyFill="1" applyBorder="1" applyAlignment="1">
      <alignment horizontal="center" vertical="center" wrapText="1"/>
    </xf>
    <xf numFmtId="181" fontId="36" fillId="0" borderId="114" xfId="0" applyNumberFormat="1" applyFont="1" applyFill="1" applyBorder="1" applyAlignment="1">
      <alignment horizontal="left" vertical="top" wrapText="1"/>
    </xf>
    <xf numFmtId="181" fontId="36" fillId="0" borderId="114" xfId="0" applyNumberFormat="1" applyFont="1" applyFill="1" applyBorder="1" applyAlignment="1">
      <alignment horizontal="right" vertical="top" wrapText="1"/>
    </xf>
    <xf numFmtId="181" fontId="36" fillId="0" borderId="114" xfId="1" applyNumberFormat="1" applyFont="1" applyFill="1" applyBorder="1" applyAlignment="1">
      <alignment horizontal="right" vertical="top"/>
    </xf>
    <xf numFmtId="181" fontId="36" fillId="5" borderId="114" xfId="1" applyNumberFormat="1" applyFont="1" applyFill="1" applyBorder="1" applyAlignment="1">
      <alignment horizontal="right" vertical="top"/>
    </xf>
    <xf numFmtId="0" fontId="36" fillId="0" borderId="55" xfId="0" applyFont="1" applyFill="1" applyBorder="1" applyAlignment="1">
      <alignment horizontal="center" vertical="top" wrapText="1"/>
    </xf>
    <xf numFmtId="182" fontId="36" fillId="0" borderId="103" xfId="0" applyNumberFormat="1" applyFont="1" applyFill="1" applyBorder="1" applyAlignment="1">
      <alignment horizontal="left" vertical="top" wrapText="1"/>
    </xf>
    <xf numFmtId="166" fontId="89" fillId="0" borderId="0" xfId="0" applyNumberFormat="1" applyFont="1" applyFill="1"/>
    <xf numFmtId="166" fontId="75" fillId="0" borderId="0" xfId="0" applyNumberFormat="1" applyFont="1" applyFill="1"/>
    <xf numFmtId="2" fontId="75" fillId="0" borderId="0" xfId="0" applyNumberFormat="1" applyFont="1" applyFill="1"/>
    <xf numFmtId="0" fontId="36" fillId="0" borderId="109" xfId="0" applyFont="1" applyFill="1" applyBorder="1" applyAlignment="1"/>
    <xf numFmtId="3" fontId="36" fillId="0" borderId="103" xfId="0" applyNumberFormat="1" applyFont="1" applyFill="1" applyBorder="1" applyAlignment="1">
      <alignment horizontal="right" vertical="top" wrapText="1"/>
    </xf>
    <xf numFmtId="3" fontId="45" fillId="0" borderId="103" xfId="1" applyNumberFormat="1" applyFont="1" applyFill="1" applyBorder="1" applyAlignment="1">
      <alignment horizontal="right"/>
    </xf>
    <xf numFmtId="0" fontId="36" fillId="0" borderId="31" xfId="0" applyFont="1" applyFill="1" applyBorder="1" applyAlignment="1"/>
    <xf numFmtId="181" fontId="35" fillId="0" borderId="103" xfId="0" applyNumberFormat="1" applyFont="1" applyFill="1" applyBorder="1" applyAlignment="1">
      <alignment horizontal="left" vertical="top" wrapText="1"/>
    </xf>
    <xf numFmtId="3" fontId="36" fillId="0" borderId="114" xfId="0" applyNumberFormat="1" applyFont="1" applyFill="1" applyBorder="1" applyAlignment="1">
      <alignment horizontal="right" vertical="top" wrapText="1"/>
    </xf>
    <xf numFmtId="3" fontId="45" fillId="0" borderId="114" xfId="1" applyNumberFormat="1" applyFont="1" applyFill="1" applyBorder="1" applyAlignment="1">
      <alignment horizontal="right"/>
    </xf>
    <xf numFmtId="0" fontId="34" fillId="0" borderId="0" xfId="0" applyFont="1" applyFill="1" applyAlignment="1">
      <alignment horizontal="left" vertical="top"/>
    </xf>
    <xf numFmtId="0" fontId="36" fillId="0" borderId="83" xfId="0" applyFont="1" applyFill="1" applyBorder="1" applyAlignment="1">
      <alignment horizontal="center" vertical="center" wrapText="1"/>
    </xf>
    <xf numFmtId="0" fontId="36" fillId="0" borderId="112" xfId="0" applyFont="1" applyFill="1" applyBorder="1" applyAlignment="1">
      <alignment horizontal="center" vertical="center" wrapText="1"/>
    </xf>
    <xf numFmtId="0" fontId="46" fillId="0" borderId="112" xfId="0" applyFont="1" applyFill="1" applyBorder="1" applyAlignment="1">
      <alignment horizontal="center" vertical="center" wrapText="1"/>
    </xf>
    <xf numFmtId="0" fontId="45" fillId="0" borderId="112" xfId="0" applyNumberFormat="1" applyFont="1" applyFill="1" applyBorder="1" applyAlignment="1">
      <alignment horizontal="center" vertical="center" wrapText="1"/>
    </xf>
    <xf numFmtId="0" fontId="86" fillId="0" borderId="92" xfId="0" applyFont="1" applyFill="1" applyBorder="1" applyAlignment="1">
      <alignment horizontal="center" vertical="top"/>
    </xf>
    <xf numFmtId="0" fontId="45" fillId="0" borderId="96" xfId="0" applyNumberFormat="1" applyFont="1" applyFill="1" applyBorder="1" applyAlignment="1">
      <alignment horizontal="center" vertical="center" wrapText="1"/>
    </xf>
    <xf numFmtId="0" fontId="67" fillId="0" borderId="107" xfId="0" applyFont="1" applyFill="1" applyBorder="1" applyAlignment="1">
      <alignment vertical="top"/>
    </xf>
    <xf numFmtId="0" fontId="46" fillId="0" borderId="109" xfId="0" applyFont="1" applyFill="1" applyBorder="1" applyAlignment="1">
      <alignment horizontal="right" vertical="top"/>
    </xf>
    <xf numFmtId="182" fontId="46" fillId="0" borderId="103" xfId="0" applyNumberFormat="1" applyFont="1" applyFill="1" applyBorder="1" applyAlignment="1">
      <alignment horizontal="left" vertical="top"/>
    </xf>
    <xf numFmtId="0" fontId="46" fillId="0" borderId="31" xfId="0" applyFont="1" applyFill="1" applyBorder="1" applyAlignment="1">
      <alignment horizontal="right" vertical="top"/>
    </xf>
    <xf numFmtId="182" fontId="46" fillId="0" borderId="55" xfId="0" applyNumberFormat="1" applyFont="1" applyFill="1" applyBorder="1" applyAlignment="1">
      <alignment horizontal="left" vertical="top" wrapText="1"/>
    </xf>
    <xf numFmtId="182" fontId="67" fillId="0" borderId="31" xfId="0" applyNumberFormat="1" applyFont="1" applyFill="1" applyBorder="1" applyAlignment="1">
      <alignment horizontal="left" vertical="top"/>
    </xf>
    <xf numFmtId="3" fontId="45" fillId="0" borderId="103" xfId="1" quotePrefix="1" applyNumberFormat="1" applyFont="1" applyFill="1" applyBorder="1" applyAlignment="1">
      <alignment horizontal="right"/>
    </xf>
    <xf numFmtId="181" fontId="36" fillId="0" borderId="55" xfId="0" applyNumberFormat="1" applyFont="1" applyFill="1" applyBorder="1" applyAlignment="1">
      <alignment horizontal="right" vertical="top" wrapText="1"/>
    </xf>
    <xf numFmtId="3" fontId="34" fillId="0" borderId="55" xfId="1" quotePrefix="1" applyNumberFormat="1" applyFont="1" applyFill="1" applyBorder="1" applyAlignment="1">
      <alignment horizontal="right"/>
    </xf>
    <xf numFmtId="0" fontId="46" fillId="0" borderId="110" xfId="0" applyFont="1" applyFill="1" applyBorder="1" applyAlignment="1">
      <alignment horizontal="left" vertical="top"/>
    </xf>
    <xf numFmtId="3" fontId="45" fillId="0" borderId="110" xfId="1" quotePrefix="1" applyNumberFormat="1" applyFont="1" applyFill="1" applyBorder="1" applyAlignment="1">
      <alignment horizontal="right"/>
    </xf>
    <xf numFmtId="181" fontId="36" fillId="0" borderId="83" xfId="0" applyNumberFormat="1" applyFont="1" applyFill="1" applyBorder="1" applyAlignment="1">
      <alignment horizontal="right" vertical="top" wrapText="1"/>
    </xf>
    <xf numFmtId="182" fontId="46" fillId="0" borderId="55" xfId="0" applyNumberFormat="1" applyFont="1" applyFill="1" applyBorder="1" applyAlignment="1">
      <alignment horizontal="left" vertical="top"/>
    </xf>
    <xf numFmtId="0" fontId="75" fillId="0" borderId="113" xfId="0" applyFont="1" applyFill="1" applyBorder="1"/>
    <xf numFmtId="3" fontId="46" fillId="0" borderId="118" xfId="0" applyNumberFormat="1" applyFont="1" applyFill="1" applyBorder="1" applyAlignment="1">
      <alignment horizontal="right" vertical="top"/>
    </xf>
    <xf numFmtId="3" fontId="46" fillId="0" borderId="119" xfId="0" applyNumberFormat="1" applyFont="1" applyFill="1" applyBorder="1" applyAlignment="1">
      <alignment horizontal="right" vertical="top"/>
    </xf>
    <xf numFmtId="3" fontId="45" fillId="0" borderId="113" xfId="1" quotePrefix="1" applyNumberFormat="1" applyFont="1" applyFill="1" applyBorder="1" applyAlignment="1">
      <alignment horizontal="right"/>
    </xf>
    <xf numFmtId="182" fontId="67" fillId="0" borderId="121" xfId="0" applyNumberFormat="1" applyFont="1" applyFill="1" applyBorder="1" applyAlignment="1">
      <alignment horizontal="left" vertical="top"/>
    </xf>
    <xf numFmtId="182" fontId="46" fillId="0" borderId="116" xfId="0" applyNumberFormat="1" applyFont="1" applyFill="1" applyBorder="1" applyAlignment="1">
      <alignment horizontal="left" vertical="top"/>
    </xf>
    <xf numFmtId="182" fontId="67" fillId="0" borderId="116" xfId="0" applyNumberFormat="1" applyFont="1" applyFill="1" applyBorder="1" applyAlignment="1">
      <alignment horizontal="left" vertical="top"/>
    </xf>
    <xf numFmtId="0" fontId="46" fillId="0" borderId="55" xfId="0" applyFont="1" applyFill="1" applyBorder="1" applyAlignment="1">
      <alignment horizontal="left" vertical="top"/>
    </xf>
    <xf numFmtId="181" fontId="35" fillId="0" borderId="116" xfId="0" applyNumberFormat="1" applyFont="1" applyFill="1" applyBorder="1" applyAlignment="1">
      <alignment horizontal="right" vertical="top" wrapText="1"/>
    </xf>
    <xf numFmtId="198" fontId="46" fillId="0" borderId="116" xfId="0" applyNumberFormat="1" applyFont="1" applyFill="1" applyBorder="1" applyAlignment="1">
      <alignment horizontal="right" vertical="top"/>
    </xf>
    <xf numFmtId="181" fontId="46" fillId="0" borderId="116" xfId="0" applyNumberFormat="1" applyFont="1" applyFill="1" applyBorder="1" applyAlignment="1">
      <alignment horizontal="right" vertical="top"/>
    </xf>
    <xf numFmtId="199" fontId="46" fillId="0" borderId="116" xfId="0" applyNumberFormat="1" applyFont="1" applyFill="1" applyBorder="1" applyAlignment="1">
      <alignment horizontal="right" vertical="top"/>
    </xf>
    <xf numFmtId="1" fontId="75" fillId="0" borderId="0" xfId="0" applyNumberFormat="1" applyFont="1" applyFill="1"/>
    <xf numFmtId="3" fontId="46" fillId="0" borderId="120" xfId="0" applyNumberFormat="1" applyFont="1" applyFill="1" applyBorder="1" applyAlignment="1">
      <alignment horizontal="right" vertical="top"/>
    </xf>
    <xf numFmtId="3" fontId="46" fillId="0" borderId="55" xfId="0" applyNumberFormat="1" applyFont="1" applyFill="1" applyBorder="1" applyAlignment="1">
      <alignment horizontal="left" vertical="top" wrapText="1"/>
    </xf>
    <xf numFmtId="3" fontId="46" fillId="0" borderId="55" xfId="0" applyNumberFormat="1" applyFont="1" applyFill="1" applyBorder="1" applyAlignment="1">
      <alignment horizontal="right" vertical="top" wrapText="1"/>
    </xf>
    <xf numFmtId="3" fontId="66" fillId="0" borderId="55" xfId="0" applyNumberFormat="1" applyFont="1" applyFill="1" applyBorder="1" applyAlignment="1">
      <alignment horizontal="right" vertical="top"/>
    </xf>
    <xf numFmtId="181" fontId="66" fillId="0" borderId="0" xfId="1" applyNumberFormat="1" applyFont="1" applyFill="1" applyBorder="1" applyAlignment="1">
      <alignment horizontal="right" vertical="top"/>
    </xf>
    <xf numFmtId="181" fontId="35" fillId="0" borderId="55" xfId="0" applyNumberFormat="1" applyFont="1" applyFill="1" applyBorder="1" applyAlignment="1">
      <alignment horizontal="right" vertical="top" wrapText="1"/>
    </xf>
    <xf numFmtId="181" fontId="35" fillId="0" borderId="122" xfId="0" applyNumberFormat="1" applyFont="1" applyFill="1" applyBorder="1" applyAlignment="1">
      <alignment horizontal="right" vertical="top" wrapText="1"/>
    </xf>
    <xf numFmtId="3" fontId="46" fillId="0" borderId="121" xfId="0" applyNumberFormat="1" applyFont="1" applyFill="1" applyBorder="1" applyAlignment="1">
      <alignment horizontal="left" vertical="top"/>
    </xf>
    <xf numFmtId="3" fontId="46" fillId="0" borderId="121" xfId="0" applyNumberFormat="1" applyFont="1" applyFill="1" applyBorder="1" applyAlignment="1">
      <alignment horizontal="right" vertical="top"/>
    </xf>
    <xf numFmtId="0" fontId="75" fillId="0" borderId="115" xfId="0" applyFont="1" applyFill="1" applyBorder="1"/>
    <xf numFmtId="3" fontId="67" fillId="0" borderId="116" xfId="0" applyNumberFormat="1" applyFont="1" applyFill="1" applyBorder="1" applyAlignment="1">
      <alignment horizontal="left" vertical="top"/>
    </xf>
    <xf numFmtId="3" fontId="46" fillId="0" borderId="116" xfId="0" applyNumberFormat="1" applyFont="1" applyFill="1" applyBorder="1" applyAlignment="1">
      <alignment horizontal="left" vertical="top"/>
    </xf>
    <xf numFmtId="3" fontId="67" fillId="0" borderId="117" xfId="0" applyNumberFormat="1" applyFont="1" applyFill="1" applyBorder="1" applyAlignment="1">
      <alignment horizontal="left" vertical="top"/>
    </xf>
    <xf numFmtId="0" fontId="75" fillId="0" borderId="65" xfId="0" applyFont="1" applyFill="1" applyBorder="1"/>
    <xf numFmtId="182" fontId="46" fillId="0" borderId="120" xfId="0" applyNumberFormat="1" applyFont="1" applyFill="1" applyBorder="1" applyAlignment="1">
      <alignment horizontal="left" vertical="top"/>
    </xf>
    <xf numFmtId="17" fontId="34" fillId="0" borderId="0" xfId="0" applyNumberFormat="1" applyFont="1" applyFill="1" applyBorder="1" applyAlignment="1">
      <alignment horizontal="left" vertical="top"/>
    </xf>
    <xf numFmtId="3" fontId="35" fillId="0" borderId="0" xfId="4" applyNumberFormat="1" applyFont="1" applyFill="1" applyBorder="1" applyAlignment="1">
      <alignment vertical="top"/>
    </xf>
    <xf numFmtId="3" fontId="34" fillId="0" borderId="0" xfId="1" applyNumberFormat="1" applyFont="1" applyFill="1" applyBorder="1" applyAlignment="1">
      <alignment vertical="top"/>
    </xf>
    <xf numFmtId="3" fontId="74" fillId="0" borderId="0" xfId="1" applyNumberFormat="1" applyFont="1" applyFill="1" applyBorder="1" applyAlignment="1">
      <alignment vertical="top"/>
    </xf>
    <xf numFmtId="181" fontId="24" fillId="0" borderId="29" xfId="1" applyNumberFormat="1" applyFont="1" applyFill="1" applyBorder="1" applyAlignment="1">
      <alignment horizontal="center" vertical="center"/>
    </xf>
    <xf numFmtId="49" fontId="22" fillId="0" borderId="0" xfId="38" applyNumberFormat="1" applyFont="1" applyFill="1" applyBorder="1" applyAlignment="1">
      <alignment horizontal="center" vertical="center" wrapText="1"/>
    </xf>
    <xf numFmtId="0" fontId="20" fillId="0" borderId="0" xfId="0" applyFont="1" applyFill="1" applyBorder="1" applyAlignment="1">
      <alignment horizontal="left" vertical="top" wrapText="1"/>
    </xf>
    <xf numFmtId="15" fontId="20" fillId="0" borderId="0" xfId="0" applyNumberFormat="1" applyFont="1" applyFill="1" applyBorder="1" applyAlignment="1">
      <alignment horizontal="center" vertical="top" wrapText="1"/>
    </xf>
    <xf numFmtId="165" fontId="22" fillId="2" borderId="0" xfId="38" applyNumberFormat="1" applyFont="1" applyFill="1" applyBorder="1" applyAlignment="1">
      <alignment horizontal="right"/>
    </xf>
    <xf numFmtId="0" fontId="20" fillId="0" borderId="0" xfId="0" applyFont="1" applyFill="1" applyBorder="1" applyAlignment="1">
      <alignment horizontal="right" vertical="top" wrapText="1"/>
    </xf>
    <xf numFmtId="166" fontId="20" fillId="0" borderId="0" xfId="0" applyNumberFormat="1" applyFont="1" applyFill="1" applyBorder="1" applyAlignment="1">
      <alignment horizontal="right" vertical="top" wrapText="1"/>
    </xf>
    <xf numFmtId="184" fontId="69" fillId="0" borderId="60" xfId="65" applyFont="1" applyBorder="1"/>
    <xf numFmtId="184" fontId="69" fillId="0" borderId="71" xfId="65" applyFont="1" applyBorder="1"/>
    <xf numFmtId="184" fontId="44" fillId="0" borderId="71" xfId="65" applyFont="1" applyBorder="1"/>
    <xf numFmtId="0" fontId="0" fillId="0" borderId="72" xfId="0" applyFill="1" applyBorder="1" applyAlignment="1"/>
    <xf numFmtId="184" fontId="78" fillId="0" borderId="60" xfId="65" applyFont="1" applyBorder="1" applyAlignment="1">
      <alignment horizontal="left" vertical="top"/>
    </xf>
    <xf numFmtId="184" fontId="78" fillId="0" borderId="71" xfId="65" applyFont="1" applyBorder="1" applyAlignment="1">
      <alignment horizontal="left" vertical="top" wrapText="1"/>
    </xf>
    <xf numFmtId="0" fontId="0" fillId="0" borderId="71" xfId="0" applyFill="1" applyBorder="1"/>
    <xf numFmtId="180" fontId="44" fillId="0" borderId="67" xfId="26" applyNumberFormat="1" applyFont="1" applyFill="1" applyBorder="1" applyAlignment="1">
      <alignment horizontal="right" wrapText="1"/>
    </xf>
    <xf numFmtId="184" fontId="78" fillId="0" borderId="60" xfId="65" applyFont="1" applyBorder="1" applyAlignment="1">
      <alignment horizontal="left" vertical="top" wrapText="1"/>
    </xf>
    <xf numFmtId="166" fontId="44" fillId="0" borderId="67" xfId="65" applyNumberFormat="1" applyFont="1" applyFill="1" applyBorder="1" applyAlignment="1">
      <alignment horizontal="right" vertical="center" wrapText="1"/>
    </xf>
    <xf numFmtId="184" fontId="78" fillId="0" borderId="71" xfId="65" applyFont="1" applyBorder="1" applyAlignment="1">
      <alignment horizontal="left" vertical="top"/>
    </xf>
    <xf numFmtId="0" fontId="69" fillId="0" borderId="123" xfId="0" applyFont="1" applyFill="1" applyBorder="1" applyAlignment="1">
      <alignment vertical="center"/>
    </xf>
    <xf numFmtId="178" fontId="78" fillId="0" borderId="123" xfId="65" applyNumberFormat="1" applyFont="1" applyBorder="1" applyAlignment="1">
      <alignment horizontal="center" vertical="top" wrapText="1"/>
    </xf>
    <xf numFmtId="184" fontId="74" fillId="0" borderId="61" xfId="65" applyFont="1" applyBorder="1" applyAlignment="1">
      <alignment horizontal="justify" vertical="top" wrapText="1"/>
    </xf>
    <xf numFmtId="166" fontId="44" fillId="0" borderId="123" xfId="26" applyNumberFormat="1" applyFont="1" applyFill="1" applyBorder="1" applyAlignment="1">
      <alignment horizontal="right" wrapText="1"/>
    </xf>
    <xf numFmtId="2" fontId="44" fillId="0" borderId="124" xfId="26" applyNumberFormat="1" applyFont="1" applyFill="1" applyBorder="1" applyAlignment="1">
      <alignment horizontal="right" wrapText="1"/>
    </xf>
    <xf numFmtId="184" fontId="73" fillId="0" borderId="124" xfId="65" applyFont="1" applyBorder="1" applyAlignment="1">
      <alignment horizontal="justify" vertical="top" wrapText="1"/>
    </xf>
    <xf numFmtId="180" fontId="44" fillId="0" borderId="124" xfId="26" applyNumberFormat="1" applyFont="1" applyFill="1" applyBorder="1" applyAlignment="1">
      <alignment horizontal="right" wrapText="1"/>
    </xf>
    <xf numFmtId="0" fontId="69" fillId="0" borderId="60" xfId="0" applyFont="1" applyFill="1" applyBorder="1" applyAlignment="1"/>
    <xf numFmtId="0" fontId="69" fillId="0" borderId="71" xfId="0" applyFont="1" applyFill="1" applyBorder="1" applyAlignment="1"/>
    <xf numFmtId="184" fontId="74" fillId="0" borderId="124" xfId="65" applyFont="1" applyBorder="1" applyAlignment="1">
      <alignment vertical="center" wrapText="1"/>
    </xf>
    <xf numFmtId="2" fontId="44" fillId="0" borderId="123" xfId="26" applyNumberFormat="1" applyFont="1" applyFill="1" applyBorder="1" applyAlignment="1">
      <alignment horizontal="right" wrapText="1"/>
    </xf>
    <xf numFmtId="166" fontId="44" fillId="0" borderId="124" xfId="26" applyNumberFormat="1" applyFont="1" applyFill="1" applyBorder="1" applyAlignment="1">
      <alignment horizontal="right" wrapText="1"/>
    </xf>
    <xf numFmtId="184" fontId="74" fillId="0" borderId="123" xfId="65" applyFont="1" applyBorder="1" applyAlignment="1">
      <alignment vertical="top" wrapText="1"/>
    </xf>
    <xf numFmtId="180" fontId="44" fillId="0" borderId="124" xfId="4" applyNumberFormat="1" applyFont="1" applyFill="1" applyBorder="1">
      <alignment horizontal="right"/>
    </xf>
    <xf numFmtId="3" fontId="44" fillId="0" borderId="124" xfId="4" applyNumberFormat="1" applyFont="1" applyFill="1" applyBorder="1" applyAlignment="1">
      <alignment horizontal="right"/>
    </xf>
    <xf numFmtId="184" fontId="74" fillId="0" borderId="124" xfId="65" applyFont="1" applyBorder="1" applyAlignment="1">
      <alignment vertical="top" wrapText="1"/>
    </xf>
    <xf numFmtId="184" fontId="74" fillId="0" borderId="61" xfId="65" applyFont="1" applyBorder="1" applyAlignment="1">
      <alignment vertical="top" wrapText="1"/>
    </xf>
    <xf numFmtId="3" fontId="44" fillId="0" borderId="123" xfId="0" applyNumberFormat="1" applyFont="1" applyFill="1" applyBorder="1" applyAlignment="1">
      <alignment horizontal="right" vertical="top" wrapText="1"/>
    </xf>
    <xf numFmtId="3" fontId="44" fillId="0" borderId="124" xfId="0" applyNumberFormat="1" applyFont="1" applyFill="1" applyBorder="1" applyAlignment="1">
      <alignment horizontal="right" vertical="top" wrapText="1"/>
    </xf>
    <xf numFmtId="1" fontId="22" fillId="0" borderId="43" xfId="38" applyNumberFormat="1" applyFont="1" applyFill="1" applyBorder="1" applyAlignment="1">
      <alignment horizontal="right"/>
    </xf>
    <xf numFmtId="49" fontId="19" fillId="0" borderId="65" xfId="0" applyNumberFormat="1" applyFont="1" applyFill="1" applyBorder="1" applyAlignment="1">
      <alignment horizontal="left"/>
    </xf>
    <xf numFmtId="176" fontId="19" fillId="0" borderId="3" xfId="0" applyNumberFormat="1" applyFont="1" applyFill="1" applyBorder="1" applyAlignment="1">
      <alignment horizontal="right" vertical="center"/>
    </xf>
    <xf numFmtId="165" fontId="22" fillId="0" borderId="41" xfId="0" applyNumberFormat="1" applyFont="1" applyFill="1" applyBorder="1" applyAlignment="1">
      <alignment horizontal="right"/>
    </xf>
    <xf numFmtId="165" fontId="19" fillId="0" borderId="41" xfId="0" applyNumberFormat="1" applyFont="1" applyFill="1" applyBorder="1" applyAlignment="1">
      <alignment horizontal="right"/>
    </xf>
    <xf numFmtId="166" fontId="25" fillId="0" borderId="54" xfId="0" applyNumberFormat="1" applyFont="1" applyFill="1" applyBorder="1"/>
    <xf numFmtId="176" fontId="19" fillId="0" borderId="43" xfId="0" applyNumberFormat="1" applyFont="1" applyFill="1" applyBorder="1" applyAlignment="1">
      <alignment horizontal="right"/>
    </xf>
    <xf numFmtId="176" fontId="19" fillId="0" borderId="65" xfId="0" applyNumberFormat="1" applyFont="1" applyFill="1" applyBorder="1" applyAlignment="1">
      <alignment horizontal="right"/>
    </xf>
    <xf numFmtId="166" fontId="36" fillId="0" borderId="43" xfId="12" applyNumberFormat="1" applyFont="1" applyFill="1" applyBorder="1"/>
    <xf numFmtId="49" fontId="19" fillId="0" borderId="66" xfId="49" applyNumberFormat="1" applyFont="1" applyFill="1" applyBorder="1" applyAlignment="1">
      <alignment horizontal="left"/>
    </xf>
    <xf numFmtId="0" fontId="19" fillId="0" borderId="0" xfId="49" applyFont="1" applyFill="1" applyAlignment="1">
      <alignment vertical="center"/>
    </xf>
    <xf numFmtId="3" fontId="26" fillId="0" borderId="47" xfId="0" applyNumberFormat="1" applyFont="1" applyFill="1" applyBorder="1" applyAlignment="1">
      <alignment horizontal="right" vertical="center"/>
    </xf>
    <xf numFmtId="3" fontId="25" fillId="0" borderId="47" xfId="8" quotePrefix="1" applyNumberFormat="1" applyFont="1" applyFill="1" applyBorder="1" applyAlignment="1">
      <alignment horizontal="right"/>
    </xf>
    <xf numFmtId="165" fontId="19" fillId="0" borderId="32" xfId="0" applyNumberFormat="1" applyFont="1" applyFill="1" applyBorder="1" applyAlignment="1">
      <alignment horizontal="right"/>
    </xf>
    <xf numFmtId="181" fontId="25" fillId="0" borderId="47" xfId="1" quotePrefix="1" applyNumberFormat="1" applyFont="1" applyFill="1" applyBorder="1" applyAlignment="1">
      <alignment horizontal="right"/>
    </xf>
    <xf numFmtId="180" fontId="25" fillId="0" borderId="47" xfId="4" applyNumberFormat="1" applyFont="1" applyFill="1" applyBorder="1">
      <alignment horizontal="right"/>
    </xf>
    <xf numFmtId="181" fontId="25" fillId="0" borderId="47" xfId="4" applyNumberFormat="1" applyFont="1" applyFill="1" applyBorder="1">
      <alignment horizontal="right"/>
    </xf>
    <xf numFmtId="181" fontId="25" fillId="0" borderId="47" xfId="25" applyNumberFormat="1" applyFont="1" applyFill="1" applyBorder="1" applyAlignment="1">
      <alignment horizontal="right" vertical="center"/>
    </xf>
    <xf numFmtId="181" fontId="25" fillId="0" borderId="47" xfId="0" applyNumberFormat="1" applyFont="1" applyFill="1" applyBorder="1"/>
    <xf numFmtId="171" fontId="19" fillId="0" borderId="43" xfId="1" applyNumberFormat="1" applyFont="1" applyFill="1" applyBorder="1" applyAlignment="1">
      <alignment horizontal="right"/>
    </xf>
    <xf numFmtId="49" fontId="25" fillId="0" borderId="53" xfId="0" applyNumberFormat="1" applyFont="1" applyFill="1" applyBorder="1" applyAlignment="1">
      <alignment horizontal="left"/>
    </xf>
    <xf numFmtId="166" fontId="21" fillId="0" borderId="54" xfId="0" applyNumberFormat="1" applyFont="1" applyFill="1" applyBorder="1"/>
    <xf numFmtId="0" fontId="21" fillId="0" borderId="43" xfId="0" applyFont="1" applyFill="1" applyBorder="1"/>
    <xf numFmtId="166" fontId="21" fillId="0" borderId="43" xfId="0" applyNumberFormat="1" applyFont="1" applyFill="1" applyBorder="1"/>
    <xf numFmtId="0" fontId="19" fillId="0" borderId="65" xfId="0" applyFont="1" applyFill="1" applyBorder="1" applyAlignment="1">
      <alignment horizontal="right"/>
    </xf>
    <xf numFmtId="167" fontId="19" fillId="0" borderId="65" xfId="0" applyNumberFormat="1" applyFont="1" applyFill="1" applyBorder="1" applyAlignment="1">
      <alignment horizontal="right"/>
    </xf>
    <xf numFmtId="175" fontId="22" fillId="0" borderId="0" xfId="0" applyNumberFormat="1" applyFont="1" applyFill="1" applyAlignment="1">
      <alignment vertical="center"/>
    </xf>
    <xf numFmtId="178" fontId="36" fillId="0" borderId="65" xfId="0" applyNumberFormat="1" applyFont="1" applyFill="1" applyBorder="1" applyAlignment="1">
      <alignment horizontal="left" vertical="top" wrapText="1"/>
    </xf>
    <xf numFmtId="0" fontId="45" fillId="0" borderId="0" xfId="0" applyNumberFormat="1" applyFont="1" applyFill="1" applyAlignment="1">
      <alignment vertical="top"/>
    </xf>
    <xf numFmtId="165" fontId="42" fillId="0" borderId="0" xfId="0" applyNumberFormat="1" applyFont="1" applyFill="1" applyBorder="1" applyAlignment="1">
      <alignment horizontal="right"/>
    </xf>
    <xf numFmtId="187" fontId="42" fillId="0" borderId="0" xfId="0" applyNumberFormat="1" applyFont="1" applyFill="1" applyBorder="1" applyAlignment="1">
      <alignment horizontal="right"/>
    </xf>
    <xf numFmtId="187" fontId="22" fillId="0" borderId="0" xfId="0" applyNumberFormat="1" applyFont="1" applyFill="1" applyBorder="1" applyAlignment="1">
      <alignment horizontal="right"/>
    </xf>
    <xf numFmtId="187" fontId="42" fillId="0" borderId="59" xfId="0" applyNumberFormat="1" applyFont="1" applyFill="1" applyBorder="1" applyAlignment="1">
      <alignment horizontal="right"/>
    </xf>
    <xf numFmtId="0" fontId="24" fillId="0" borderId="0" xfId="0" applyNumberFormat="1" applyFont="1" applyFill="1" applyBorder="1" applyAlignment="1">
      <alignment vertical="center"/>
    </xf>
    <xf numFmtId="49" fontId="19" fillId="0" borderId="65" xfId="0" applyNumberFormat="1" applyFont="1" applyFill="1" applyBorder="1" applyAlignment="1">
      <alignment horizontal="left"/>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22" fillId="0" borderId="0" xfId="38" applyNumberFormat="1" applyFont="1" applyFill="1" applyAlignment="1">
      <alignment horizontal="left"/>
    </xf>
    <xf numFmtId="49" fontId="19" fillId="0" borderId="0" xfId="38" applyNumberFormat="1" applyFont="1" applyFill="1" applyAlignment="1">
      <alignment horizontal="left" vertical="center"/>
    </xf>
    <xf numFmtId="49" fontId="19" fillId="0" borderId="43" xfId="38" applyNumberFormat="1" applyFont="1" applyFill="1" applyBorder="1" applyAlignment="1">
      <alignment horizontal="center" vertical="center" wrapText="1"/>
    </xf>
    <xf numFmtId="0" fontId="19" fillId="0" borderId="43" xfId="38" applyFont="1" applyFill="1" applyBorder="1" applyAlignment="1">
      <alignment horizontal="center" vertical="center" wrapText="1"/>
    </xf>
    <xf numFmtId="49" fontId="19" fillId="0" borderId="32" xfId="38" applyNumberFormat="1" applyFont="1" applyFill="1" applyBorder="1" applyAlignment="1">
      <alignment horizontal="center" vertical="center"/>
    </xf>
    <xf numFmtId="49" fontId="19" fillId="0" borderId="27" xfId="38" applyNumberFormat="1" applyFont="1" applyFill="1" applyBorder="1" applyAlignment="1">
      <alignment horizontal="center" vertical="center"/>
    </xf>
    <xf numFmtId="49" fontId="19" fillId="0" borderId="35" xfId="38" applyNumberFormat="1" applyFont="1" applyFill="1" applyBorder="1" applyAlignment="1">
      <alignment horizontal="center" vertical="center"/>
    </xf>
    <xf numFmtId="49" fontId="19" fillId="0" borderId="38" xfId="38" applyNumberFormat="1" applyFont="1" applyFill="1" applyBorder="1" applyAlignment="1">
      <alignment horizontal="center" wrapText="1"/>
    </xf>
    <xf numFmtId="49" fontId="19" fillId="0" borderId="37" xfId="38" applyNumberFormat="1" applyFont="1" applyFill="1" applyBorder="1" applyAlignment="1">
      <alignment horizontal="center" wrapText="1"/>
    </xf>
    <xf numFmtId="49" fontId="19" fillId="0" borderId="39" xfId="38" applyNumberFormat="1" applyFont="1" applyFill="1" applyBorder="1" applyAlignment="1">
      <alignment horizontal="center" wrapText="1"/>
    </xf>
    <xf numFmtId="49" fontId="19" fillId="0" borderId="38" xfId="38" applyNumberFormat="1" applyFont="1" applyFill="1" applyBorder="1" applyAlignment="1">
      <alignment horizontal="center"/>
    </xf>
    <xf numFmtId="49" fontId="19" fillId="0" borderId="39" xfId="38" applyNumberFormat="1" applyFont="1" applyFill="1" applyBorder="1" applyAlignment="1">
      <alignment horizontal="center"/>
    </xf>
    <xf numFmtId="0" fontId="19" fillId="0" borderId="38" xfId="38" applyFont="1" applyFill="1" applyBorder="1" applyAlignment="1">
      <alignment horizontal="center" vertical="center" wrapText="1"/>
    </xf>
    <xf numFmtId="0" fontId="19" fillId="0" borderId="39" xfId="38" applyFont="1" applyFill="1" applyBorder="1" applyAlignment="1">
      <alignment horizontal="center" vertical="center" wrapText="1"/>
    </xf>
    <xf numFmtId="49" fontId="19" fillId="0" borderId="32" xfId="38" applyNumberFormat="1" applyFont="1" applyFill="1" applyBorder="1" applyAlignment="1">
      <alignment horizontal="center" vertical="center" wrapText="1"/>
    </xf>
    <xf numFmtId="49" fontId="19" fillId="0" borderId="35" xfId="38" applyNumberFormat="1" applyFont="1" applyFill="1" applyBorder="1" applyAlignment="1">
      <alignment horizontal="center" vertical="center" wrapText="1"/>
    </xf>
    <xf numFmtId="0" fontId="21" fillId="0" borderId="20" xfId="0" applyNumberFormat="1" applyFont="1" applyFill="1" applyBorder="1" applyAlignment="1">
      <alignment horizontal="center"/>
    </xf>
    <xf numFmtId="49" fontId="19" fillId="0" borderId="20" xfId="0" applyNumberFormat="1" applyFont="1" applyFill="1" applyBorder="1" applyAlignment="1">
      <alignment horizontal="center" vertical="center"/>
    </xf>
    <xf numFmtId="49" fontId="19" fillId="0" borderId="54"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55"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19" fillId="0" borderId="0" xfId="0" applyNumberFormat="1" applyFont="1" applyFill="1" applyAlignment="1">
      <alignment horizontal="left" wrapText="1"/>
    </xf>
    <xf numFmtId="49" fontId="19" fillId="0" borderId="20"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49" fontId="19" fillId="0" borderId="21" xfId="0" applyNumberFormat="1" applyFont="1" applyFill="1" applyBorder="1" applyAlignment="1">
      <alignment horizontal="center"/>
    </xf>
    <xf numFmtId="49" fontId="19" fillId="0" borderId="23" xfId="0" applyNumberFormat="1" applyFont="1" applyFill="1" applyBorder="1" applyAlignment="1">
      <alignment horizontal="center"/>
    </xf>
    <xf numFmtId="49" fontId="19" fillId="0" borderId="22" xfId="0" applyNumberFormat="1" applyFont="1" applyFill="1" applyBorder="1" applyAlignment="1">
      <alignment horizontal="center"/>
    </xf>
    <xf numFmtId="49" fontId="22" fillId="0" borderId="0" xfId="0" applyNumberFormat="1" applyFont="1" applyFill="1" applyAlignment="1">
      <alignment horizontal="left" wrapText="1"/>
    </xf>
    <xf numFmtId="0" fontId="22" fillId="0" borderId="0" xfId="0" applyFont="1" applyFill="1" applyAlignment="1">
      <alignment horizontal="left" wrapText="1"/>
    </xf>
    <xf numFmtId="49" fontId="22" fillId="0" borderId="0" xfId="0" applyNumberFormat="1" applyFont="1" applyFill="1" applyBorder="1" applyAlignment="1">
      <alignment horizontal="left" vertical="center" wrapText="1"/>
    </xf>
    <xf numFmtId="49" fontId="19" fillId="0" borderId="3" xfId="0" applyNumberFormat="1" applyFont="1" applyFill="1" applyBorder="1" applyAlignment="1">
      <alignment horizontal="center" vertical="center" wrapText="1"/>
    </xf>
    <xf numFmtId="49" fontId="19" fillId="0" borderId="3" xfId="0" applyNumberFormat="1" applyFont="1" applyFill="1" applyBorder="1" applyAlignment="1">
      <alignment horizontal="center" wrapText="1"/>
    </xf>
    <xf numFmtId="178" fontId="19" fillId="0" borderId="3" xfId="0" applyNumberFormat="1" applyFont="1" applyFill="1" applyBorder="1" applyAlignment="1">
      <alignment horizontal="center" wrapText="1"/>
    </xf>
    <xf numFmtId="49" fontId="22" fillId="0" borderId="5" xfId="0" applyNumberFormat="1" applyFont="1" applyFill="1" applyBorder="1" applyAlignment="1">
      <alignment horizontal="left" wrapText="1"/>
    </xf>
    <xf numFmtId="49" fontId="22" fillId="0" borderId="0" xfId="0" applyNumberFormat="1" applyFont="1" applyFill="1" applyAlignment="1">
      <alignment horizontal="left" vertical="center" wrapText="1"/>
    </xf>
    <xf numFmtId="49" fontId="19" fillId="0" borderId="0" xfId="0" applyNumberFormat="1" applyFont="1" applyFill="1" applyAlignment="1">
      <alignment horizontal="left" vertical="top"/>
    </xf>
    <xf numFmtId="49" fontId="19" fillId="0" borderId="2"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49" fontId="19" fillId="0" borderId="4"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49" fontId="19" fillId="0" borderId="7" xfId="0" applyNumberFormat="1" applyFont="1" applyFill="1" applyBorder="1" applyAlignment="1">
      <alignment horizontal="center" vertical="center"/>
    </xf>
    <xf numFmtId="49" fontId="19" fillId="0" borderId="8"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178" fontId="22" fillId="0" borderId="0" xfId="0" applyNumberFormat="1" applyFont="1" applyFill="1" applyBorder="1" applyAlignment="1">
      <alignment horizontal="left" vertical="center" wrapText="1"/>
    </xf>
    <xf numFmtId="49" fontId="22" fillId="2" borderId="0" xfId="0" applyNumberFormat="1" applyFont="1" applyFill="1" applyAlignment="1">
      <alignment horizontal="left"/>
    </xf>
    <xf numFmtId="49" fontId="19" fillId="2" borderId="0" xfId="0" applyNumberFormat="1" applyFont="1" applyFill="1" applyAlignment="1">
      <alignment horizontal="left" vertical="top"/>
    </xf>
    <xf numFmtId="49" fontId="19" fillId="2" borderId="2" xfId="0" applyNumberFormat="1" applyFont="1" applyFill="1" applyBorder="1" applyAlignment="1">
      <alignment horizontal="center" vertical="center" wrapText="1"/>
    </xf>
    <xf numFmtId="49" fontId="19" fillId="2" borderId="27" xfId="0" applyNumberFormat="1" applyFont="1" applyFill="1" applyBorder="1" applyAlignment="1">
      <alignment horizontal="center" vertical="center" wrapText="1"/>
    </xf>
    <xf numFmtId="49" fontId="19" fillId="2" borderId="8" xfId="0" applyNumberFormat="1" applyFont="1" applyFill="1" applyBorder="1" applyAlignment="1">
      <alignment horizontal="center" vertical="center" wrapText="1"/>
    </xf>
    <xf numFmtId="49" fontId="19" fillId="2" borderId="9"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3" fillId="0" borderId="0" xfId="0" applyNumberFormat="1" applyFont="1" applyFill="1" applyAlignment="1">
      <alignment horizontal="left" wrapText="1"/>
    </xf>
    <xf numFmtId="49" fontId="19" fillId="0" borderId="2"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0" fontId="21" fillId="3" borderId="48" xfId="0" applyFont="1" applyFill="1" applyBorder="1" applyAlignment="1">
      <alignment horizontal="center" vertical="center"/>
    </xf>
    <xf numFmtId="0" fontId="21" fillId="3" borderId="51" xfId="0" applyFont="1" applyFill="1" applyBorder="1" applyAlignment="1">
      <alignment horizontal="center" vertical="center"/>
    </xf>
    <xf numFmtId="0" fontId="20" fillId="0" borderId="0" xfId="0" applyNumberFormat="1" applyFont="1" applyFill="1" applyBorder="1" applyAlignment="1">
      <alignment vertical="center" wrapText="1"/>
    </xf>
    <xf numFmtId="49" fontId="19" fillId="0" borderId="0" xfId="38" applyNumberFormat="1" applyFont="1" applyFill="1" applyAlignment="1">
      <alignment horizontal="left" vertical="top"/>
    </xf>
    <xf numFmtId="49" fontId="19" fillId="0" borderId="0" xfId="0" applyNumberFormat="1" applyFont="1" applyFill="1" applyAlignment="1">
      <alignment horizontal="left" vertical="top" wrapText="1"/>
    </xf>
    <xf numFmtId="49" fontId="19" fillId="0" borderId="32" xfId="0" applyNumberFormat="1" applyFont="1" applyFill="1" applyBorder="1" applyAlignment="1">
      <alignment horizontal="center" wrapText="1"/>
    </xf>
    <xf numFmtId="49" fontId="19" fillId="0" borderId="35" xfId="0" applyNumberFormat="1" applyFont="1" applyFill="1" applyBorder="1" applyAlignment="1">
      <alignment horizontal="center" wrapText="1"/>
    </xf>
    <xf numFmtId="49" fontId="19" fillId="0" borderId="38" xfId="0" applyNumberFormat="1" applyFont="1" applyFill="1" applyBorder="1" applyAlignment="1">
      <alignment horizontal="center"/>
    </xf>
    <xf numFmtId="49" fontId="19" fillId="0" borderId="39" xfId="0" applyNumberFormat="1" applyFont="1" applyFill="1" applyBorder="1" applyAlignment="1">
      <alignment horizontal="center"/>
    </xf>
    <xf numFmtId="49" fontId="19" fillId="0" borderId="38" xfId="0" applyNumberFormat="1" applyFont="1" applyFill="1" applyBorder="1" applyAlignment="1">
      <alignment horizontal="center" wrapText="1"/>
    </xf>
    <xf numFmtId="49" fontId="19" fillId="0" borderId="39" xfId="0" applyNumberFormat="1" applyFont="1" applyFill="1" applyBorder="1" applyAlignment="1">
      <alignment horizontal="center" wrapText="1"/>
    </xf>
    <xf numFmtId="49" fontId="23" fillId="0" borderId="0" xfId="38" applyNumberFormat="1" applyFont="1" applyFill="1" applyAlignment="1">
      <alignment horizontal="left"/>
    </xf>
    <xf numFmtId="49" fontId="25" fillId="0" borderId="0" xfId="38" applyNumberFormat="1" applyFont="1" applyFill="1" applyAlignment="1">
      <alignment horizontal="left" vertical="top"/>
    </xf>
    <xf numFmtId="49" fontId="25" fillId="0" borderId="64" xfId="38" applyNumberFormat="1" applyFont="1" applyFill="1" applyBorder="1" applyAlignment="1">
      <alignment horizontal="right"/>
    </xf>
    <xf numFmtId="49" fontId="25" fillId="0" borderId="35" xfId="38" applyNumberFormat="1" applyFont="1" applyFill="1" applyBorder="1" applyAlignment="1">
      <alignment horizontal="right"/>
    </xf>
    <xf numFmtId="49" fontId="25" fillId="0" borderId="59" xfId="38" applyNumberFormat="1" applyFont="1" applyFill="1" applyBorder="1" applyAlignment="1">
      <alignment horizontal="center"/>
    </xf>
    <xf numFmtId="49" fontId="25" fillId="0" borderId="69" xfId="38" applyNumberFormat="1" applyFont="1" applyFill="1" applyBorder="1" applyAlignment="1">
      <alignment horizontal="center"/>
    </xf>
    <xf numFmtId="49" fontId="25" fillId="0" borderId="70" xfId="38" applyNumberFormat="1" applyFont="1" applyFill="1" applyBorder="1" applyAlignment="1">
      <alignment horizontal="center"/>
    </xf>
    <xf numFmtId="49" fontId="25" fillId="0" borderId="68" xfId="38" applyNumberFormat="1" applyFont="1" applyFill="1" applyBorder="1" applyAlignment="1">
      <alignment horizontal="center" vertical="center"/>
    </xf>
    <xf numFmtId="49" fontId="25" fillId="0" borderId="63" xfId="38" applyNumberFormat="1" applyFont="1" applyFill="1" applyBorder="1" applyAlignment="1">
      <alignment horizontal="center" vertical="center"/>
    </xf>
    <xf numFmtId="49" fontId="25" fillId="0" borderId="33" xfId="38" applyNumberFormat="1" applyFont="1" applyFill="1" applyBorder="1" applyAlignment="1">
      <alignment horizontal="center" vertical="center"/>
    </xf>
    <xf numFmtId="49" fontId="25" fillId="0" borderId="34" xfId="38" applyNumberFormat="1" applyFont="1" applyFill="1" applyBorder="1" applyAlignment="1">
      <alignment horizontal="center" vertical="center"/>
    </xf>
    <xf numFmtId="49" fontId="19" fillId="0" borderId="38" xfId="38" applyNumberFormat="1" applyFont="1" applyFill="1" applyBorder="1" applyAlignment="1">
      <alignment horizontal="center" vertical="center"/>
    </xf>
    <xf numFmtId="49" fontId="19" fillId="0" borderId="39" xfId="38" applyNumberFormat="1" applyFont="1" applyFill="1" applyBorder="1" applyAlignment="1">
      <alignment horizontal="center" vertical="center"/>
    </xf>
    <xf numFmtId="49" fontId="19" fillId="2" borderId="0" xfId="0" applyNumberFormat="1" applyFont="1" applyFill="1" applyAlignment="1">
      <alignment horizontal="left" vertical="top" wrapText="1"/>
    </xf>
    <xf numFmtId="49" fontId="19" fillId="0" borderId="8"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49" fontId="22" fillId="2" borderId="0" xfId="0" applyNumberFormat="1" applyFont="1" applyFill="1" applyAlignment="1">
      <alignment horizontal="left" wrapText="1"/>
    </xf>
    <xf numFmtId="49" fontId="19" fillId="2" borderId="0" xfId="0" applyNumberFormat="1" applyFont="1" applyFill="1" applyAlignment="1">
      <alignment horizontal="left"/>
    </xf>
    <xf numFmtId="49" fontId="19" fillId="2" borderId="4" xfId="0" applyNumberFormat="1" applyFont="1" applyFill="1" applyBorder="1" applyAlignment="1">
      <alignment horizontal="center" vertical="center" wrapText="1"/>
    </xf>
    <xf numFmtId="49" fontId="19" fillId="2" borderId="10" xfId="0" applyNumberFormat="1" applyFont="1" applyFill="1" applyBorder="1" applyAlignment="1">
      <alignment horizontal="center" vertical="center" wrapText="1"/>
    </xf>
    <xf numFmtId="49" fontId="22" fillId="0" borderId="15" xfId="0" applyNumberFormat="1" applyFont="1" applyFill="1" applyBorder="1" applyAlignment="1">
      <alignment horizontal="left" wrapText="1"/>
    </xf>
    <xf numFmtId="49" fontId="22" fillId="0" borderId="16" xfId="0" applyNumberFormat="1" applyFont="1" applyFill="1" applyBorder="1" applyAlignment="1">
      <alignment horizontal="left" wrapText="1"/>
    </xf>
    <xf numFmtId="49" fontId="22" fillId="0" borderId="17" xfId="0" applyNumberFormat="1" applyFont="1" applyFill="1" applyBorder="1" applyAlignment="1">
      <alignment horizontal="left" wrapText="1"/>
    </xf>
    <xf numFmtId="49" fontId="19" fillId="0" borderId="0" xfId="0" applyNumberFormat="1" applyFont="1" applyFill="1" applyBorder="1" applyAlignment="1">
      <alignment horizontal="left" vertical="top" wrapText="1"/>
    </xf>
    <xf numFmtId="49" fontId="19" fillId="2" borderId="0" xfId="0" applyNumberFormat="1" applyFont="1" applyFill="1" applyBorder="1" applyAlignment="1">
      <alignment horizontal="right" vertical="center"/>
    </xf>
    <xf numFmtId="49" fontId="19" fillId="2" borderId="3" xfId="0" applyNumberFormat="1" applyFont="1" applyFill="1" applyBorder="1" applyAlignment="1">
      <alignment horizontal="center" vertical="center"/>
    </xf>
    <xf numFmtId="49" fontId="19" fillId="2" borderId="3" xfId="0" applyNumberFormat="1" applyFont="1" applyFill="1" applyBorder="1" applyAlignment="1">
      <alignment horizontal="center"/>
    </xf>
    <xf numFmtId="49" fontId="19" fillId="0" borderId="3" xfId="0" applyNumberFormat="1" applyFont="1" applyFill="1" applyBorder="1" applyAlignment="1">
      <alignment horizontal="center"/>
    </xf>
    <xf numFmtId="49" fontId="19" fillId="2" borderId="2"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49" fontId="19" fillId="2" borderId="8" xfId="0" applyNumberFormat="1" applyFont="1" applyFill="1" applyBorder="1" applyAlignment="1">
      <alignment horizontal="center"/>
    </xf>
    <xf numFmtId="49" fontId="19" fillId="2" borderId="10" xfId="0" applyNumberFormat="1" applyFont="1" applyFill="1" applyBorder="1" applyAlignment="1">
      <alignment horizontal="center"/>
    </xf>
    <xf numFmtId="49" fontId="19" fillId="2" borderId="9" xfId="0" applyNumberFormat="1" applyFont="1" applyFill="1" applyBorder="1" applyAlignment="1">
      <alignment horizontal="center"/>
    </xf>
    <xf numFmtId="49" fontId="19" fillId="2" borderId="2" xfId="0" applyNumberFormat="1" applyFont="1" applyFill="1" applyBorder="1" applyAlignment="1">
      <alignment horizontal="center" vertical="top"/>
    </xf>
    <xf numFmtId="49" fontId="19" fillId="2" borderId="4" xfId="0" applyNumberFormat="1" applyFont="1" applyFill="1" applyBorder="1" applyAlignment="1">
      <alignment horizontal="center" vertical="top"/>
    </xf>
    <xf numFmtId="49" fontId="22" fillId="2" borderId="15" xfId="0" applyNumberFormat="1" applyFont="1" applyFill="1" applyBorder="1" applyAlignment="1">
      <alignment horizontal="left"/>
    </xf>
    <xf numFmtId="49" fontId="22" fillId="2" borderId="16" xfId="0" applyNumberFormat="1" applyFont="1" applyFill="1" applyBorder="1" applyAlignment="1">
      <alignment horizontal="left"/>
    </xf>
    <xf numFmtId="49" fontId="22" fillId="2" borderId="17" xfId="0" applyNumberFormat="1" applyFont="1" applyFill="1" applyBorder="1" applyAlignment="1">
      <alignment horizontal="left"/>
    </xf>
    <xf numFmtId="49" fontId="19" fillId="0" borderId="0" xfId="0" applyNumberFormat="1" applyFont="1" applyFill="1" applyAlignment="1">
      <alignment horizontal="left" vertical="center"/>
    </xf>
    <xf numFmtId="49" fontId="19" fillId="2" borderId="0" xfId="0" applyNumberFormat="1" applyFont="1" applyFill="1" applyAlignment="1">
      <alignment horizontal="left" vertical="center"/>
    </xf>
    <xf numFmtId="49" fontId="20" fillId="0" borderId="0" xfId="0" applyNumberFormat="1" applyFont="1" applyFill="1" applyAlignment="1">
      <alignment horizontal="left" wrapText="1"/>
    </xf>
    <xf numFmtId="49" fontId="22" fillId="0" borderId="0" xfId="0" applyNumberFormat="1" applyFont="1" applyFill="1" applyAlignment="1">
      <alignment horizontal="left" vertical="center"/>
    </xf>
    <xf numFmtId="49" fontId="22" fillId="0" borderId="112" xfId="0" applyNumberFormat="1" applyFont="1" applyFill="1" applyBorder="1" applyAlignment="1">
      <alignment horizontal="left"/>
    </xf>
    <xf numFmtId="49" fontId="19" fillId="2" borderId="56" xfId="0" applyNumberFormat="1" applyFont="1" applyFill="1" applyBorder="1" applyAlignment="1">
      <alignment horizontal="center" vertical="center" wrapText="1"/>
    </xf>
    <xf numFmtId="49" fontId="19" fillId="2" borderId="65" xfId="0" applyNumberFormat="1" applyFont="1" applyFill="1" applyBorder="1" applyAlignment="1">
      <alignment horizontal="center" vertical="center" wrapText="1"/>
    </xf>
    <xf numFmtId="49" fontId="19" fillId="2" borderId="65" xfId="0" applyNumberFormat="1" applyFont="1" applyFill="1" applyBorder="1" applyAlignment="1">
      <alignment horizontal="center" vertical="center"/>
    </xf>
    <xf numFmtId="49" fontId="19" fillId="0" borderId="65" xfId="0" applyNumberFormat="1" applyFont="1" applyFill="1" applyBorder="1" applyAlignment="1">
      <alignment horizontal="center" vertical="center" wrapText="1"/>
    </xf>
    <xf numFmtId="49" fontId="19" fillId="0" borderId="8" xfId="0" applyNumberFormat="1" applyFont="1" applyFill="1" applyBorder="1" applyAlignment="1">
      <alignment horizontal="center"/>
    </xf>
    <xf numFmtId="49" fontId="19" fillId="0" borderId="10" xfId="0" applyNumberFormat="1" applyFont="1" applyFill="1" applyBorder="1" applyAlignment="1">
      <alignment horizontal="center"/>
    </xf>
    <xf numFmtId="49" fontId="19" fillId="0" borderId="9" xfId="0" applyNumberFormat="1" applyFont="1" applyFill="1" applyBorder="1" applyAlignment="1">
      <alignment horizontal="center"/>
    </xf>
    <xf numFmtId="49" fontId="19" fillId="0" borderId="62" xfId="0" applyNumberFormat="1" applyFont="1" applyFill="1" applyBorder="1" applyAlignment="1">
      <alignment horizontal="center"/>
    </xf>
    <xf numFmtId="49" fontId="19" fillId="0" borderId="63" xfId="0" applyNumberFormat="1" applyFont="1" applyFill="1" applyBorder="1" applyAlignment="1">
      <alignment horizontal="center"/>
    </xf>
    <xf numFmtId="49" fontId="19" fillId="0" borderId="57" xfId="0" applyNumberFormat="1" applyFont="1" applyFill="1" applyBorder="1" applyAlignment="1">
      <alignment horizontal="center"/>
    </xf>
    <xf numFmtId="49" fontId="19" fillId="0" borderId="5" xfId="0" applyNumberFormat="1" applyFont="1" applyFill="1" applyBorder="1" applyAlignment="1">
      <alignment horizontal="center"/>
    </xf>
    <xf numFmtId="49" fontId="19" fillId="0" borderId="58" xfId="0" applyNumberFormat="1" applyFont="1" applyFill="1" applyBorder="1" applyAlignment="1">
      <alignment horizontal="center"/>
    </xf>
    <xf numFmtId="49" fontId="22" fillId="0" borderId="45" xfId="0" applyNumberFormat="1" applyFont="1" applyFill="1" applyBorder="1" applyAlignment="1">
      <alignment horizontal="left" wrapText="1"/>
    </xf>
    <xf numFmtId="49" fontId="22" fillId="2" borderId="0" xfId="0" applyNumberFormat="1" applyFont="1" applyFill="1" applyAlignment="1">
      <alignment horizontal="left" vertical="center" wrapText="1"/>
    </xf>
    <xf numFmtId="49" fontId="19" fillId="2" borderId="64" xfId="0" applyNumberFormat="1" applyFont="1" applyFill="1" applyBorder="1" applyAlignment="1">
      <alignment horizontal="center" vertical="center" wrapText="1"/>
    </xf>
    <xf numFmtId="49" fontId="19" fillId="2" borderId="35" xfId="0" applyNumberFormat="1" applyFont="1" applyFill="1" applyBorder="1" applyAlignment="1">
      <alignment horizontal="center" vertical="center" wrapText="1"/>
    </xf>
    <xf numFmtId="49" fontId="19" fillId="2" borderId="68" xfId="0" applyNumberFormat="1" applyFont="1" applyFill="1" applyBorder="1" applyAlignment="1">
      <alignment horizontal="center" vertical="center"/>
    </xf>
    <xf numFmtId="49" fontId="19" fillId="2" borderId="63" xfId="0" applyNumberFormat="1" applyFont="1" applyFill="1" applyBorder="1" applyAlignment="1">
      <alignment horizontal="center" vertical="center"/>
    </xf>
    <xf numFmtId="49" fontId="19" fillId="2" borderId="33" xfId="0" applyNumberFormat="1" applyFont="1" applyFill="1" applyBorder="1" applyAlignment="1">
      <alignment horizontal="center" vertical="center"/>
    </xf>
    <xf numFmtId="49" fontId="19" fillId="2" borderId="34" xfId="0" applyNumberFormat="1" applyFont="1" applyFill="1" applyBorder="1" applyAlignment="1">
      <alignment horizontal="center" vertical="center"/>
    </xf>
    <xf numFmtId="49" fontId="19" fillId="2" borderId="59" xfId="0" applyNumberFormat="1" applyFont="1" applyFill="1" applyBorder="1" applyAlignment="1">
      <alignment horizontal="center" vertical="center"/>
    </xf>
    <xf numFmtId="49" fontId="19" fillId="2" borderId="69" xfId="0" applyNumberFormat="1" applyFont="1" applyFill="1" applyBorder="1" applyAlignment="1">
      <alignment horizontal="center" vertical="center"/>
    </xf>
    <xf numFmtId="49" fontId="19" fillId="2" borderId="70" xfId="0" applyNumberFormat="1" applyFont="1" applyFill="1" applyBorder="1" applyAlignment="1">
      <alignment horizontal="center" vertical="center"/>
    </xf>
    <xf numFmtId="49" fontId="19" fillId="2" borderId="68" xfId="0" applyNumberFormat="1" applyFont="1" applyFill="1" applyBorder="1" applyAlignment="1">
      <alignment horizontal="center" vertical="center" wrapText="1"/>
    </xf>
    <xf numFmtId="49" fontId="19" fillId="2" borderId="63" xfId="0" applyNumberFormat="1" applyFont="1" applyFill="1" applyBorder="1" applyAlignment="1">
      <alignment horizontal="center" vertical="center" wrapText="1"/>
    </xf>
    <xf numFmtId="49" fontId="19" fillId="2" borderId="33" xfId="0" applyNumberFormat="1" applyFont="1" applyFill="1" applyBorder="1" applyAlignment="1">
      <alignment horizontal="center" vertical="center" wrapText="1"/>
    </xf>
    <xf numFmtId="49" fontId="19" fillId="2" borderId="34" xfId="0" applyNumberFormat="1" applyFont="1" applyFill="1" applyBorder="1" applyAlignment="1">
      <alignment horizontal="center" vertical="center" wrapText="1"/>
    </xf>
    <xf numFmtId="49" fontId="19" fillId="0" borderId="64" xfId="0" applyNumberFormat="1" applyFont="1" applyFill="1" applyBorder="1" applyAlignment="1">
      <alignment horizontal="center" vertical="center" wrapText="1"/>
    </xf>
    <xf numFmtId="49" fontId="19" fillId="0" borderId="56" xfId="0" applyNumberFormat="1" applyFont="1" applyFill="1" applyBorder="1" applyAlignment="1">
      <alignment horizontal="center" vertical="center" wrapText="1"/>
    </xf>
    <xf numFmtId="49" fontId="19" fillId="0" borderId="35" xfId="0" applyNumberFormat="1" applyFont="1" applyFill="1" applyBorder="1" applyAlignment="1">
      <alignment horizontal="center" vertical="center" wrapText="1"/>
    </xf>
    <xf numFmtId="49" fontId="19" fillId="0" borderId="59" xfId="0" applyNumberFormat="1" applyFont="1" applyFill="1" applyBorder="1" applyAlignment="1">
      <alignment horizontal="center" vertical="center"/>
    </xf>
    <xf numFmtId="49" fontId="19" fillId="0" borderId="69" xfId="0" applyNumberFormat="1" applyFont="1" applyFill="1" applyBorder="1" applyAlignment="1">
      <alignment horizontal="center" vertical="center"/>
    </xf>
    <xf numFmtId="49" fontId="19" fillId="0" borderId="70" xfId="0" applyNumberFormat="1"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70" xfId="0" applyFont="1" applyFill="1" applyBorder="1" applyAlignment="1">
      <alignment horizontal="center" vertical="center" wrapText="1"/>
    </xf>
    <xf numFmtId="49" fontId="19" fillId="0" borderId="64"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0" fontId="19" fillId="0" borderId="64" xfId="0" applyFont="1" applyFill="1" applyBorder="1" applyAlignment="1">
      <alignment horizontal="center" vertical="center" wrapText="1"/>
    </xf>
    <xf numFmtId="0" fontId="19" fillId="0" borderId="35" xfId="0" applyFont="1" applyFill="1" applyBorder="1" applyAlignment="1">
      <alignment horizontal="center" vertical="center" wrapText="1"/>
    </xf>
    <xf numFmtId="49" fontId="19" fillId="2" borderId="0" xfId="49" applyNumberFormat="1" applyFont="1" applyFill="1" applyAlignment="1">
      <alignment horizontal="left" vertical="top"/>
    </xf>
    <xf numFmtId="49" fontId="19" fillId="2" borderId="64" xfId="49" applyNumberFormat="1" applyFont="1" applyFill="1" applyBorder="1" applyAlignment="1">
      <alignment horizontal="center" vertical="center"/>
    </xf>
    <xf numFmtId="49" fontId="19" fillId="2" borderId="35" xfId="49" applyNumberFormat="1" applyFont="1" applyFill="1" applyBorder="1" applyAlignment="1">
      <alignment horizontal="center" vertical="center"/>
    </xf>
    <xf numFmtId="49" fontId="19" fillId="2" borderId="59" xfId="49" applyNumberFormat="1" applyFont="1" applyFill="1" applyBorder="1" applyAlignment="1">
      <alignment horizontal="center" vertical="center"/>
    </xf>
    <xf numFmtId="49" fontId="19" fillId="2" borderId="69" xfId="49" applyNumberFormat="1" applyFont="1" applyFill="1" applyBorder="1" applyAlignment="1">
      <alignment horizontal="center" vertical="center"/>
    </xf>
    <xf numFmtId="49" fontId="19" fillId="2" borderId="70" xfId="49" applyNumberFormat="1" applyFont="1" applyFill="1" applyBorder="1" applyAlignment="1">
      <alignment horizontal="center" vertical="center"/>
    </xf>
    <xf numFmtId="49" fontId="19" fillId="2" borderId="64" xfId="0" applyNumberFormat="1" applyFont="1" applyFill="1" applyBorder="1" applyAlignment="1">
      <alignment horizontal="center" vertical="center"/>
    </xf>
    <xf numFmtId="49" fontId="19" fillId="2" borderId="35" xfId="0" applyNumberFormat="1" applyFont="1" applyFill="1" applyBorder="1" applyAlignment="1">
      <alignment horizontal="center" vertical="center"/>
    </xf>
    <xf numFmtId="49" fontId="19" fillId="2" borderId="59" xfId="0" applyNumberFormat="1" applyFont="1" applyFill="1" applyBorder="1" applyAlignment="1">
      <alignment horizontal="center"/>
    </xf>
    <xf numFmtId="49" fontId="19" fillId="2" borderId="69" xfId="0" applyNumberFormat="1" applyFont="1" applyFill="1" applyBorder="1" applyAlignment="1">
      <alignment horizontal="center"/>
    </xf>
    <xf numFmtId="49" fontId="19" fillId="2" borderId="70" xfId="0" applyNumberFormat="1" applyFont="1" applyFill="1" applyBorder="1" applyAlignment="1">
      <alignment horizontal="center"/>
    </xf>
    <xf numFmtId="49" fontId="19" fillId="0" borderId="60" xfId="0" applyNumberFormat="1" applyFont="1" applyFill="1" applyBorder="1" applyAlignment="1">
      <alignment horizontal="right"/>
    </xf>
    <xf numFmtId="49" fontId="19" fillId="0" borderId="71" xfId="0" applyNumberFormat="1" applyFont="1" applyFill="1" applyBorder="1" applyAlignment="1">
      <alignment horizontal="right"/>
    </xf>
    <xf numFmtId="49" fontId="19" fillId="0" borderId="72" xfId="0" applyNumberFormat="1" applyFont="1" applyFill="1" applyBorder="1" applyAlignment="1">
      <alignment horizontal="right"/>
    </xf>
    <xf numFmtId="49" fontId="20" fillId="2" borderId="0" xfId="0" applyNumberFormat="1" applyFont="1" applyFill="1" applyAlignment="1">
      <alignment horizontal="left"/>
    </xf>
    <xf numFmtId="49" fontId="19" fillId="0" borderId="59" xfId="0" applyNumberFormat="1" applyFont="1" applyFill="1" applyBorder="1" applyAlignment="1">
      <alignment horizontal="right"/>
    </xf>
    <xf numFmtId="49" fontId="19" fillId="0" borderId="69" xfId="0" applyNumberFormat="1" applyFont="1" applyFill="1" applyBorder="1" applyAlignment="1">
      <alignment horizontal="right"/>
    </xf>
    <xf numFmtId="49" fontId="19" fillId="2" borderId="0" xfId="50" applyNumberFormat="1" applyFont="1" applyFill="1" applyAlignment="1">
      <alignment horizontal="left" vertical="top"/>
    </xf>
    <xf numFmtId="49" fontId="19" fillId="2" borderId="64" xfId="50" applyNumberFormat="1" applyFont="1" applyFill="1" applyBorder="1" applyAlignment="1">
      <alignment horizontal="center" vertical="center"/>
    </xf>
    <xf numFmtId="49" fontId="19" fillId="2" borderId="56" xfId="50" applyNumberFormat="1" applyFont="1" applyFill="1" applyBorder="1" applyAlignment="1">
      <alignment horizontal="center" vertical="center"/>
    </xf>
    <xf numFmtId="49" fontId="19" fillId="2" borderId="35" xfId="50" applyNumberFormat="1" applyFont="1" applyFill="1" applyBorder="1" applyAlignment="1">
      <alignment horizontal="center" vertical="center"/>
    </xf>
    <xf numFmtId="49" fontId="19" fillId="2" borderId="64" xfId="50" applyNumberFormat="1" applyFont="1" applyFill="1" applyBorder="1" applyAlignment="1">
      <alignment horizontal="center" vertical="center" wrapText="1"/>
    </xf>
    <xf numFmtId="49" fontId="19" fillId="2" borderId="56" xfId="50" applyNumberFormat="1" applyFont="1" applyFill="1" applyBorder="1" applyAlignment="1">
      <alignment horizontal="center" vertical="center" wrapText="1"/>
    </xf>
    <xf numFmtId="49" fontId="19" fillId="2" borderId="35" xfId="50" applyNumberFormat="1" applyFont="1" applyFill="1" applyBorder="1" applyAlignment="1">
      <alignment horizontal="center" vertical="center" wrapText="1"/>
    </xf>
    <xf numFmtId="49" fontId="19" fillId="2" borderId="68" xfId="50" applyNumberFormat="1" applyFont="1" applyFill="1" applyBorder="1" applyAlignment="1">
      <alignment horizontal="center" wrapText="1"/>
    </xf>
    <xf numFmtId="49" fontId="19" fillId="2" borderId="63" xfId="50" applyNumberFormat="1" applyFont="1" applyFill="1" applyBorder="1" applyAlignment="1">
      <alignment horizontal="center" wrapText="1"/>
    </xf>
    <xf numFmtId="49" fontId="19" fillId="2" borderId="33" xfId="50" applyNumberFormat="1" applyFont="1" applyFill="1" applyBorder="1" applyAlignment="1">
      <alignment horizontal="center" wrapText="1"/>
    </xf>
    <xf numFmtId="49" fontId="19" fillId="2" borderId="34" xfId="50" applyNumberFormat="1" applyFont="1" applyFill="1" applyBorder="1" applyAlignment="1">
      <alignment horizontal="center" wrapText="1"/>
    </xf>
    <xf numFmtId="49" fontId="19" fillId="2" borderId="59" xfId="50" applyNumberFormat="1" applyFont="1" applyFill="1" applyBorder="1" applyAlignment="1">
      <alignment horizontal="center" vertical="center" wrapText="1"/>
    </xf>
    <xf numFmtId="49" fontId="19" fillId="2" borderId="69" xfId="50" applyNumberFormat="1" applyFont="1" applyFill="1" applyBorder="1" applyAlignment="1">
      <alignment horizontal="center" vertical="center" wrapText="1"/>
    </xf>
    <xf numFmtId="49" fontId="19" fillId="2" borderId="70" xfId="50" applyNumberFormat="1" applyFont="1" applyFill="1" applyBorder="1" applyAlignment="1">
      <alignment horizontal="center" vertical="center" wrapText="1"/>
    </xf>
    <xf numFmtId="49" fontId="19" fillId="2" borderId="59" xfId="0" applyNumberFormat="1" applyFont="1" applyFill="1" applyBorder="1" applyAlignment="1">
      <alignment horizontal="center" vertical="center" wrapText="1"/>
    </xf>
    <xf numFmtId="49" fontId="19" fillId="2" borderId="70" xfId="0" applyNumberFormat="1" applyFont="1" applyFill="1" applyBorder="1" applyAlignment="1">
      <alignment horizontal="center" vertical="center" wrapText="1"/>
    </xf>
    <xf numFmtId="49" fontId="19" fillId="2" borderId="69" xfId="0" applyNumberFormat="1"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9" fillId="2" borderId="35" xfId="0" applyFont="1" applyFill="1" applyBorder="1" applyAlignment="1">
      <alignment horizontal="center" vertical="center" wrapText="1"/>
    </xf>
    <xf numFmtId="49" fontId="19" fillId="2" borderId="62" xfId="0" applyNumberFormat="1" applyFont="1" applyFill="1" applyBorder="1" applyAlignment="1">
      <alignment horizontal="center" vertical="center"/>
    </xf>
    <xf numFmtId="0" fontId="19" fillId="2" borderId="62" xfId="0" applyFont="1" applyFill="1" applyBorder="1" applyAlignment="1">
      <alignment horizontal="center" vertical="center" wrapText="1"/>
    </xf>
    <xf numFmtId="0" fontId="19" fillId="2" borderId="63" xfId="0" applyFont="1" applyFill="1" applyBorder="1" applyAlignment="1">
      <alignment horizontal="center" vertical="center" wrapText="1"/>
    </xf>
    <xf numFmtId="49" fontId="19" fillId="2" borderId="0" xfId="0" applyNumberFormat="1" applyFont="1" applyFill="1" applyAlignment="1">
      <alignment horizontal="center" vertical="center" wrapText="1"/>
    </xf>
    <xf numFmtId="49" fontId="19" fillId="0" borderId="56" xfId="0" applyNumberFormat="1" applyFont="1" applyFill="1" applyBorder="1" applyAlignment="1">
      <alignment horizontal="center" vertical="center"/>
    </xf>
    <xf numFmtId="49" fontId="22" fillId="0" borderId="0" xfId="0" applyNumberFormat="1" applyFont="1" applyFill="1" applyBorder="1" applyAlignment="1">
      <alignment horizontal="left"/>
    </xf>
    <xf numFmtId="49" fontId="19" fillId="0" borderId="59" xfId="0" applyNumberFormat="1" applyFont="1" applyFill="1" applyBorder="1" applyAlignment="1">
      <alignment horizontal="center"/>
    </xf>
    <xf numFmtId="49" fontId="19" fillId="0" borderId="69" xfId="0" applyNumberFormat="1" applyFont="1" applyFill="1" applyBorder="1" applyAlignment="1">
      <alignment horizontal="center"/>
    </xf>
    <xf numFmtId="49" fontId="19" fillId="0" borderId="70" xfId="0" applyNumberFormat="1" applyFont="1" applyFill="1" applyBorder="1" applyAlignment="1">
      <alignment horizontal="center"/>
    </xf>
    <xf numFmtId="0" fontId="19" fillId="0" borderId="59" xfId="0" applyFont="1" applyFill="1" applyBorder="1" applyAlignment="1">
      <alignment horizontal="center" wrapText="1"/>
    </xf>
    <xf numFmtId="0" fontId="19" fillId="0" borderId="69" xfId="0" applyFont="1" applyFill="1" applyBorder="1" applyAlignment="1">
      <alignment horizontal="center" wrapText="1"/>
    </xf>
    <xf numFmtId="0" fontId="19" fillId="0" borderId="70" xfId="0" applyFont="1" applyFill="1" applyBorder="1" applyAlignment="1">
      <alignment horizontal="center" wrapText="1"/>
    </xf>
    <xf numFmtId="0" fontId="25" fillId="0" borderId="94" xfId="51" applyFont="1" applyFill="1" applyBorder="1" applyAlignment="1">
      <alignment horizontal="center"/>
    </xf>
    <xf numFmtId="0" fontId="25" fillId="0" borderId="30" xfId="51" applyFont="1" applyFill="1" applyBorder="1" applyAlignment="1">
      <alignment horizontal="center"/>
    </xf>
    <xf numFmtId="0" fontId="25" fillId="0" borderId="91" xfId="51" applyFont="1" applyFill="1" applyBorder="1" applyAlignment="1">
      <alignment horizontal="center"/>
    </xf>
    <xf numFmtId="0" fontId="25" fillId="0" borderId="92" xfId="51" applyFont="1" applyFill="1" applyBorder="1" applyAlignment="1">
      <alignment horizontal="center"/>
    </xf>
    <xf numFmtId="0" fontId="25" fillId="0" borderId="93" xfId="51" applyFont="1" applyFill="1" applyBorder="1" applyAlignment="1">
      <alignment horizontal="center"/>
    </xf>
    <xf numFmtId="0" fontId="25" fillId="0" borderId="65" xfId="0" applyFont="1" applyFill="1" applyBorder="1" applyAlignment="1">
      <alignment horizontal="center" wrapText="1"/>
    </xf>
    <xf numFmtId="0" fontId="25" fillId="0" borderId="91" xfId="0" applyFont="1" applyFill="1" applyBorder="1" applyAlignment="1">
      <alignment horizontal="center"/>
    </xf>
    <xf numFmtId="0" fontId="25" fillId="0" borderId="92" xfId="0" applyFont="1" applyFill="1" applyBorder="1" applyAlignment="1">
      <alignment horizontal="center"/>
    </xf>
    <xf numFmtId="0" fontId="25" fillId="0" borderId="93" xfId="0" applyFont="1" applyFill="1" applyBorder="1" applyAlignment="1">
      <alignment horizontal="center"/>
    </xf>
    <xf numFmtId="0" fontId="25" fillId="0" borderId="65" xfId="0" applyFont="1" applyFill="1" applyBorder="1" applyAlignment="1">
      <alignment horizontal="center"/>
    </xf>
    <xf numFmtId="49" fontId="19" fillId="0" borderId="59" xfId="0" applyNumberFormat="1" applyFont="1" applyFill="1" applyBorder="1" applyAlignment="1">
      <alignment horizontal="center" vertical="center" wrapText="1"/>
    </xf>
    <xf numFmtId="49" fontId="19" fillId="0" borderId="70" xfId="0" applyNumberFormat="1" applyFont="1" applyFill="1" applyBorder="1" applyAlignment="1">
      <alignment horizontal="center" vertical="center" wrapText="1"/>
    </xf>
    <xf numFmtId="49" fontId="19" fillId="0" borderId="65" xfId="0" applyNumberFormat="1" applyFont="1" applyFill="1" applyBorder="1" applyAlignment="1">
      <alignment horizontal="center" vertical="center"/>
    </xf>
    <xf numFmtId="0" fontId="25" fillId="0" borderId="65" xfId="0" applyFont="1" applyFill="1" applyBorder="1" applyAlignment="1">
      <alignment horizontal="center" vertical="center" wrapText="1"/>
    </xf>
    <xf numFmtId="49" fontId="19" fillId="0" borderId="69" xfId="0" applyNumberFormat="1" applyFont="1" applyFill="1" applyBorder="1" applyAlignment="1">
      <alignment horizontal="center" vertical="center" wrapText="1"/>
    </xf>
    <xf numFmtId="0" fontId="21" fillId="0" borderId="67" xfId="10" applyFont="1" applyFill="1" applyBorder="1" applyAlignment="1">
      <alignment horizontal="center" vertical="center"/>
    </xf>
    <xf numFmtId="0" fontId="21" fillId="0" borderId="67" xfId="10" applyFont="1" applyFill="1" applyBorder="1" applyAlignment="1">
      <alignment horizontal="center" vertical="center" wrapText="1"/>
    </xf>
    <xf numFmtId="0" fontId="21" fillId="0" borderId="67" xfId="50" applyFont="1" applyFill="1" applyBorder="1" applyAlignment="1">
      <alignment horizontal="center" wrapText="1"/>
    </xf>
    <xf numFmtId="178" fontId="21" fillId="0" borderId="67" xfId="50" applyNumberFormat="1" applyFont="1" applyFill="1" applyBorder="1" applyAlignment="1">
      <alignment horizontal="center" wrapText="1"/>
    </xf>
    <xf numFmtId="0" fontId="20" fillId="0" borderId="0" xfId="50" applyFont="1" applyFill="1" applyAlignment="1">
      <alignment horizontal="left" vertical="center" wrapText="1"/>
    </xf>
    <xf numFmtId="0" fontId="52" fillId="0" borderId="0" xfId="0" applyFont="1" applyFill="1" applyAlignment="1">
      <alignment horizontal="left" vertical="top" wrapText="1"/>
    </xf>
    <xf numFmtId="49" fontId="19" fillId="0" borderId="74" xfId="0" applyNumberFormat="1" applyFont="1" applyFill="1" applyBorder="1" applyAlignment="1">
      <alignment horizontal="center" vertical="center"/>
    </xf>
    <xf numFmtId="49" fontId="19" fillId="0" borderId="75" xfId="0" applyNumberFormat="1" applyFont="1" applyFill="1" applyBorder="1" applyAlignment="1">
      <alignment horizontal="center" vertical="center"/>
    </xf>
    <xf numFmtId="49" fontId="19" fillId="0" borderId="76" xfId="0" applyNumberFormat="1" applyFont="1" applyFill="1" applyBorder="1" applyAlignment="1">
      <alignment horizontal="center" vertical="center"/>
    </xf>
    <xf numFmtId="49" fontId="19" fillId="0" borderId="77" xfId="0" applyNumberFormat="1" applyFont="1" applyFill="1" applyBorder="1" applyAlignment="1">
      <alignment horizontal="center" vertical="center"/>
    </xf>
    <xf numFmtId="49" fontId="19" fillId="0" borderId="28" xfId="0" applyNumberFormat="1" applyFont="1" applyFill="1" applyBorder="1" applyAlignment="1">
      <alignment horizontal="center"/>
    </xf>
    <xf numFmtId="49" fontId="19" fillId="0" borderId="0" xfId="0" applyNumberFormat="1" applyFont="1" applyFill="1" applyBorder="1" applyAlignment="1">
      <alignment horizontal="center"/>
    </xf>
    <xf numFmtId="49" fontId="19" fillId="0" borderId="80" xfId="0" applyNumberFormat="1" applyFont="1" applyFill="1" applyBorder="1" applyAlignment="1">
      <alignment horizontal="center"/>
    </xf>
    <xf numFmtId="0" fontId="52" fillId="0" borderId="0" xfId="0" applyFont="1" applyFill="1" applyAlignment="1">
      <alignment horizontal="center" vertical="top" wrapText="1"/>
    </xf>
    <xf numFmtId="49" fontId="19" fillId="0" borderId="68"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49" fontId="19" fillId="2" borderId="59" xfId="50" applyNumberFormat="1" applyFont="1" applyFill="1" applyBorder="1" applyAlignment="1">
      <alignment horizontal="center" vertical="center"/>
    </xf>
    <xf numFmtId="49" fontId="19" fillId="2" borderId="69" xfId="50" applyNumberFormat="1" applyFont="1" applyFill="1" applyBorder="1" applyAlignment="1">
      <alignment horizontal="center" vertical="center"/>
    </xf>
    <xf numFmtId="49" fontId="19" fillId="2" borderId="70" xfId="50" applyNumberFormat="1" applyFont="1" applyFill="1" applyBorder="1" applyAlignment="1">
      <alignment horizontal="center" vertical="center"/>
    </xf>
    <xf numFmtId="49" fontId="22" fillId="2" borderId="0" xfId="50" applyNumberFormat="1" applyFont="1" applyFill="1" applyAlignment="1">
      <alignment horizontal="left" wrapText="1"/>
    </xf>
    <xf numFmtId="49" fontId="19" fillId="2" borderId="59" xfId="50" applyNumberFormat="1" applyFont="1" applyFill="1" applyBorder="1" applyAlignment="1">
      <alignment horizontal="left" vertical="center"/>
    </xf>
    <xf numFmtId="49" fontId="19" fillId="2" borderId="69" xfId="50" applyNumberFormat="1" applyFont="1" applyFill="1" applyBorder="1" applyAlignment="1">
      <alignment horizontal="left" vertical="center"/>
    </xf>
    <xf numFmtId="49" fontId="19" fillId="2" borderId="70" xfId="50" applyNumberFormat="1" applyFont="1" applyFill="1" applyBorder="1" applyAlignment="1">
      <alignment horizontal="left" vertical="center"/>
    </xf>
    <xf numFmtId="0" fontId="59" fillId="0" borderId="98" xfId="0" applyNumberFormat="1" applyFont="1" applyFill="1" applyBorder="1" applyAlignment="1">
      <alignment horizontal="center" vertical="center"/>
    </xf>
    <xf numFmtId="0" fontId="59" fillId="0" borderId="101" xfId="0" applyNumberFormat="1" applyFont="1" applyFill="1" applyBorder="1" applyAlignment="1">
      <alignment horizontal="center" vertical="center"/>
    </xf>
    <xf numFmtId="0" fontId="45" fillId="0" borderId="89" xfId="0" applyNumberFormat="1" applyFont="1" applyFill="1" applyBorder="1" applyAlignment="1">
      <alignment horizontal="left" vertical="center" wrapText="1"/>
    </xf>
    <xf numFmtId="0" fontId="45" fillId="0" borderId="102" xfId="0" applyNumberFormat="1" applyFont="1" applyFill="1" applyBorder="1" applyAlignment="1">
      <alignment horizontal="left" vertical="center" wrapText="1"/>
    </xf>
    <xf numFmtId="0" fontId="34" fillId="0" borderId="105" xfId="0" applyNumberFormat="1" applyFont="1" applyFill="1" applyBorder="1" applyAlignment="1">
      <alignment horizontal="left" vertical="center" wrapText="1"/>
    </xf>
    <xf numFmtId="0" fontId="45" fillId="0" borderId="97" xfId="0" applyNumberFormat="1" applyFont="1" applyFill="1" applyBorder="1" applyAlignment="1">
      <alignment horizontal="center" vertical="center"/>
    </xf>
    <xf numFmtId="0" fontId="45" fillId="0" borderId="89" xfId="0" applyNumberFormat="1" applyFont="1" applyFill="1" applyBorder="1" applyAlignment="1">
      <alignment horizontal="center" vertical="center"/>
    </xf>
    <xf numFmtId="0" fontId="45" fillId="0" borderId="98" xfId="0" applyNumberFormat="1" applyFont="1" applyFill="1" applyBorder="1" applyAlignment="1">
      <alignment horizontal="center" vertical="center"/>
    </xf>
    <xf numFmtId="0" fontId="45" fillId="0" borderId="65" xfId="0" applyNumberFormat="1" applyFont="1" applyFill="1" applyBorder="1" applyAlignment="1">
      <alignment horizontal="center" vertical="center"/>
    </xf>
    <xf numFmtId="0" fontId="59" fillId="0" borderId="99" xfId="0" applyNumberFormat="1" applyFont="1" applyFill="1" applyBorder="1" applyAlignment="1">
      <alignment horizontal="center" vertical="center"/>
    </xf>
    <xf numFmtId="0" fontId="59" fillId="0" borderId="86" xfId="0" applyNumberFormat="1" applyFont="1" applyFill="1" applyBorder="1" applyAlignment="1">
      <alignment horizontal="center" vertical="center"/>
    </xf>
    <xf numFmtId="0" fontId="59" fillId="0" borderId="100" xfId="0" applyNumberFormat="1" applyFont="1" applyFill="1" applyBorder="1" applyAlignment="1">
      <alignment horizontal="center" vertical="center"/>
    </xf>
    <xf numFmtId="0" fontId="59" fillId="5" borderId="83" xfId="0" applyNumberFormat="1" applyFont="1" applyFill="1" applyBorder="1" applyAlignment="1">
      <alignment horizontal="left" vertical="top"/>
    </xf>
    <xf numFmtId="0" fontId="45" fillId="6" borderId="84" xfId="0" applyNumberFormat="1" applyFont="1" applyFill="1" applyBorder="1" applyAlignment="1">
      <alignment horizontal="center" vertical="top" wrapText="1"/>
    </xf>
    <xf numFmtId="0" fontId="45" fillId="6" borderId="88" xfId="0" applyNumberFormat="1" applyFont="1" applyFill="1" applyBorder="1" applyAlignment="1">
      <alignment horizontal="center" vertical="top" wrapText="1"/>
    </xf>
    <xf numFmtId="0" fontId="45" fillId="6" borderId="85" xfId="0" applyNumberFormat="1" applyFont="1" applyFill="1" applyBorder="1" applyAlignment="1">
      <alignment horizontal="center" vertical="top"/>
    </xf>
    <xf numFmtId="0" fontId="45" fillId="6" borderId="86" xfId="0" applyNumberFormat="1" applyFont="1" applyFill="1" applyBorder="1" applyAlignment="1">
      <alignment horizontal="center" vertical="top"/>
    </xf>
    <xf numFmtId="0" fontId="45" fillId="6" borderId="87" xfId="0" applyNumberFormat="1" applyFont="1" applyFill="1" applyBorder="1" applyAlignment="1">
      <alignment horizontal="center" vertical="top"/>
    </xf>
    <xf numFmtId="0" fontId="36" fillId="8" borderId="94" xfId="22" applyFont="1" applyFill="1" applyBorder="1" applyAlignment="1">
      <alignment horizontal="center" vertical="center" wrapText="1"/>
    </xf>
    <xf numFmtId="0" fontId="36" fillId="8" borderId="55" xfId="22" applyFont="1" applyFill="1" applyBorder="1" applyAlignment="1">
      <alignment horizontal="center" vertical="center" wrapText="1"/>
    </xf>
    <xf numFmtId="0" fontId="45" fillId="8" borderId="94" xfId="0" applyNumberFormat="1" applyFont="1" applyFill="1" applyBorder="1" applyAlignment="1">
      <alignment horizontal="center" vertical="center" wrapText="1"/>
    </xf>
    <xf numFmtId="0" fontId="45" fillId="8" borderId="55" xfId="0" applyNumberFormat="1" applyFont="1" applyFill="1" applyBorder="1" applyAlignment="1">
      <alignment horizontal="center" vertical="center" wrapText="1"/>
    </xf>
    <xf numFmtId="0" fontId="45" fillId="8" borderId="65" xfId="0" applyNumberFormat="1" applyFont="1" applyFill="1" applyBorder="1" applyAlignment="1">
      <alignment horizontal="center" vertical="center" wrapText="1"/>
    </xf>
    <xf numFmtId="0" fontId="46" fillId="5" borderId="0" xfId="0" applyNumberFormat="1" applyFont="1" applyFill="1" applyBorder="1" applyAlignment="1">
      <alignment horizontal="left" vertical="center"/>
    </xf>
    <xf numFmtId="0" fontId="67" fillId="5" borderId="91" xfId="0" applyNumberFormat="1" applyFont="1" applyFill="1" applyBorder="1" applyAlignment="1">
      <alignment horizontal="center" vertical="center"/>
    </xf>
    <xf numFmtId="0" fontId="67" fillId="5" borderId="92" xfId="0" applyNumberFormat="1" applyFont="1" applyFill="1" applyBorder="1" applyAlignment="1">
      <alignment horizontal="center" vertical="center"/>
    </xf>
    <xf numFmtId="0" fontId="67" fillId="5" borderId="93" xfId="0" applyNumberFormat="1" applyFont="1" applyFill="1" applyBorder="1" applyAlignment="1">
      <alignment horizontal="center" vertical="center"/>
    </xf>
    <xf numFmtId="0" fontId="45" fillId="8" borderId="95" xfId="0" applyNumberFormat="1" applyFont="1" applyFill="1" applyBorder="1" applyAlignment="1">
      <alignment horizontal="center" vertical="center" wrapText="1"/>
    </xf>
    <xf numFmtId="0" fontId="45" fillId="8" borderId="112" xfId="0" applyNumberFormat="1" applyFont="1" applyFill="1" applyBorder="1" applyAlignment="1">
      <alignment horizontal="center" vertical="center" wrapText="1"/>
    </xf>
    <xf numFmtId="0" fontId="45" fillId="8" borderId="96" xfId="0" applyNumberFormat="1" applyFont="1" applyFill="1" applyBorder="1" applyAlignment="1">
      <alignment horizontal="center" vertical="center" wrapText="1"/>
    </xf>
    <xf numFmtId="0" fontId="45" fillId="8" borderId="91" xfId="0" applyNumberFormat="1" applyFont="1" applyFill="1" applyBorder="1" applyAlignment="1">
      <alignment horizontal="center" vertical="center" wrapText="1"/>
    </xf>
    <xf numFmtId="0" fontId="45" fillId="8" borderId="92" xfId="0" applyNumberFormat="1" applyFont="1" applyFill="1" applyBorder="1" applyAlignment="1">
      <alignment horizontal="center" vertical="center" wrapText="1"/>
    </xf>
    <xf numFmtId="0" fontId="45" fillId="8" borderId="93" xfId="0" applyNumberFormat="1" applyFont="1" applyFill="1" applyBorder="1" applyAlignment="1">
      <alignment horizontal="center" vertical="center" wrapText="1"/>
    </xf>
    <xf numFmtId="0" fontId="45" fillId="0" borderId="91" xfId="0" applyNumberFormat="1" applyFont="1" applyBorder="1" applyAlignment="1">
      <alignment horizontal="center"/>
    </xf>
    <xf numFmtId="0" fontId="45" fillId="0" borderId="92" xfId="0" applyNumberFormat="1" applyFont="1" applyBorder="1" applyAlignment="1">
      <alignment horizontal="center"/>
    </xf>
    <xf numFmtId="0" fontId="45" fillId="0" borderId="93" xfId="0" applyNumberFormat="1" applyFont="1" applyBorder="1" applyAlignment="1">
      <alignment horizontal="center"/>
    </xf>
    <xf numFmtId="0" fontId="36" fillId="8" borderId="65" xfId="22" applyFont="1" applyFill="1" applyBorder="1" applyAlignment="1">
      <alignment horizontal="center" vertical="center" wrapText="1"/>
    </xf>
    <xf numFmtId="0" fontId="36" fillId="8" borderId="65" xfId="0" applyFont="1" applyFill="1" applyBorder="1" applyAlignment="1">
      <alignment horizontal="center" vertical="center" wrapText="1"/>
    </xf>
    <xf numFmtId="0" fontId="36" fillId="8" borderId="91" xfId="0" applyFont="1" applyFill="1" applyBorder="1" applyAlignment="1">
      <alignment horizontal="center" vertical="center" wrapText="1"/>
    </xf>
    <xf numFmtId="0" fontId="36" fillId="8" borderId="93" xfId="0" applyFont="1" applyFill="1" applyBorder="1" applyAlignment="1">
      <alignment horizontal="center" vertical="center" wrapText="1"/>
    </xf>
    <xf numFmtId="0" fontId="36" fillId="8" borderId="65" xfId="22" applyFont="1" applyFill="1" applyBorder="1" applyAlignment="1">
      <alignment horizontal="center" vertical="center"/>
    </xf>
    <xf numFmtId="0" fontId="45" fillId="0" borderId="91" xfId="0" applyNumberFormat="1" applyFont="1" applyFill="1" applyBorder="1" applyAlignment="1">
      <alignment horizontal="center"/>
    </xf>
    <xf numFmtId="0" fontId="45" fillId="0" borderId="92" xfId="0" applyNumberFormat="1" applyFont="1" applyFill="1" applyBorder="1" applyAlignment="1">
      <alignment horizontal="center"/>
    </xf>
    <xf numFmtId="0" fontId="45" fillId="0" borderId="93" xfId="0" applyNumberFormat="1" applyFont="1" applyFill="1" applyBorder="1" applyAlignment="1">
      <alignment horizontal="center"/>
    </xf>
    <xf numFmtId="0" fontId="36" fillId="8" borderId="91" xfId="22" applyFont="1" applyFill="1" applyBorder="1" applyAlignment="1">
      <alignment horizontal="center" vertical="center" wrapText="1"/>
    </xf>
    <xf numFmtId="0" fontId="36" fillId="8" borderId="93" xfId="22" applyFont="1" applyFill="1" applyBorder="1" applyAlignment="1">
      <alignment horizontal="center" vertical="center" wrapText="1"/>
    </xf>
    <xf numFmtId="0" fontId="69" fillId="0" borderId="91" xfId="0" applyNumberFormat="1" applyFont="1" applyFill="1" applyBorder="1" applyAlignment="1">
      <alignment horizontal="center"/>
    </xf>
    <xf numFmtId="0" fontId="69" fillId="0" borderId="92" xfId="0" applyNumberFormat="1" applyFont="1" applyFill="1" applyBorder="1" applyAlignment="1">
      <alignment horizontal="center"/>
    </xf>
    <xf numFmtId="0" fontId="69" fillId="0" borderId="93" xfId="0" applyNumberFormat="1" applyFont="1" applyFill="1" applyBorder="1" applyAlignment="1">
      <alignment horizontal="center"/>
    </xf>
    <xf numFmtId="0" fontId="36" fillId="8" borderId="92" xfId="22" applyFont="1" applyFill="1" applyBorder="1" applyAlignment="1">
      <alignment horizontal="center" vertical="center" wrapText="1"/>
    </xf>
    <xf numFmtId="0" fontId="59" fillId="0" borderId="83" xfId="0" applyNumberFormat="1" applyFont="1" applyFill="1" applyBorder="1" applyAlignment="1">
      <alignment horizontal="left" vertical="center"/>
    </xf>
    <xf numFmtId="0" fontId="59" fillId="0" borderId="0" xfId="0" applyNumberFormat="1" applyFont="1" applyFill="1" applyBorder="1" applyAlignment="1">
      <alignment horizontal="left" vertical="center"/>
    </xf>
    <xf numFmtId="0" fontId="36" fillId="8" borderId="46" xfId="22" applyFont="1" applyFill="1" applyBorder="1" applyAlignment="1">
      <alignment horizontal="center" vertical="center" wrapText="1"/>
    </xf>
    <xf numFmtId="0" fontId="59" fillId="0" borderId="91" xfId="0" applyNumberFormat="1" applyFont="1" applyFill="1" applyBorder="1" applyAlignment="1">
      <alignment horizontal="center" vertical="center"/>
    </xf>
    <xf numFmtId="0" fontId="59" fillId="0" borderId="92" xfId="0" applyNumberFormat="1" applyFont="1" applyFill="1" applyBorder="1" applyAlignment="1">
      <alignment horizontal="center" vertical="center"/>
    </xf>
    <xf numFmtId="0" fontId="59" fillId="0" borderId="93" xfId="0" applyNumberFormat="1" applyFont="1" applyFill="1" applyBorder="1" applyAlignment="1">
      <alignment horizontal="center" vertical="center"/>
    </xf>
    <xf numFmtId="0" fontId="59" fillId="5" borderId="65" xfId="0" applyNumberFormat="1" applyFont="1" applyFill="1" applyBorder="1" applyAlignment="1">
      <alignment horizontal="left" vertical="center"/>
    </xf>
    <xf numFmtId="0" fontId="45" fillId="8" borderId="31" xfId="0" applyNumberFormat="1" applyFont="1" applyFill="1" applyBorder="1" applyAlignment="1">
      <alignment horizontal="center" vertical="center" wrapText="1"/>
    </xf>
    <xf numFmtId="0" fontId="34" fillId="0" borderId="0" xfId="0" applyFont="1" applyFill="1" applyAlignment="1">
      <alignment horizontal="left"/>
    </xf>
    <xf numFmtId="0" fontId="69" fillId="0" borderId="65" xfId="0" applyNumberFormat="1" applyFont="1" applyBorder="1" applyAlignment="1">
      <alignment horizontal="center"/>
    </xf>
    <xf numFmtId="0" fontId="86" fillId="5" borderId="92" xfId="0" applyNumberFormat="1" applyFont="1" applyFill="1" applyBorder="1" applyAlignment="1">
      <alignment horizontal="center" vertical="center"/>
    </xf>
    <xf numFmtId="0" fontId="86" fillId="5" borderId="93" xfId="0" applyNumberFormat="1" applyFont="1" applyFill="1" applyBorder="1" applyAlignment="1">
      <alignment horizontal="center" vertical="center"/>
    </xf>
    <xf numFmtId="0" fontId="69" fillId="8" borderId="91" xfId="0" applyNumberFormat="1" applyFont="1" applyFill="1" applyBorder="1" applyAlignment="1">
      <alignment horizontal="center" vertical="center" wrapText="1"/>
    </xf>
    <xf numFmtId="0" fontId="69" fillId="8" borderId="92" xfId="0" applyNumberFormat="1" applyFont="1" applyFill="1" applyBorder="1" applyAlignment="1">
      <alignment horizontal="center" vertical="center" wrapText="1"/>
    </xf>
    <xf numFmtId="0" fontId="69" fillId="8" borderId="93" xfId="0" applyNumberFormat="1" applyFont="1" applyFill="1" applyBorder="1" applyAlignment="1">
      <alignment horizontal="center" vertical="center" wrapText="1"/>
    </xf>
    <xf numFmtId="0" fontId="88" fillId="0" borderId="91" xfId="0" applyNumberFormat="1" applyFont="1" applyBorder="1" applyAlignment="1">
      <alignment horizontal="center"/>
    </xf>
    <xf numFmtId="0" fontId="88" fillId="0" borderId="92" xfId="0" applyNumberFormat="1" applyFont="1" applyBorder="1" applyAlignment="1">
      <alignment horizontal="center"/>
    </xf>
    <xf numFmtId="0" fontId="88" fillId="0" borderId="93" xfId="0" applyNumberFormat="1" applyFont="1" applyBorder="1" applyAlignment="1">
      <alignment horizontal="center"/>
    </xf>
    <xf numFmtId="0" fontId="72" fillId="8" borderId="65" xfId="22" applyFont="1" applyFill="1" applyBorder="1" applyAlignment="1">
      <alignment horizontal="center" vertical="center" wrapText="1"/>
    </xf>
    <xf numFmtId="0" fontId="72" fillId="8" borderId="65" xfId="0" applyFont="1" applyFill="1" applyBorder="1" applyAlignment="1">
      <alignment horizontal="center" vertical="center" wrapText="1"/>
    </xf>
    <xf numFmtId="0" fontId="69" fillId="8" borderId="65" xfId="0" applyNumberFormat="1" applyFont="1" applyFill="1" applyBorder="1" applyAlignment="1">
      <alignment horizontal="center" vertical="center" wrapText="1"/>
    </xf>
    <xf numFmtId="0" fontId="72" fillId="8" borderId="91" xfId="0" applyFont="1" applyFill="1" applyBorder="1" applyAlignment="1">
      <alignment horizontal="center" vertical="center" wrapText="1"/>
    </xf>
    <xf numFmtId="0" fontId="72" fillId="8" borderId="65" xfId="22" applyFont="1" applyFill="1" applyBorder="1" applyAlignment="1">
      <alignment horizontal="center" vertical="center"/>
    </xf>
    <xf numFmtId="0" fontId="72" fillId="8" borderId="94" xfId="22" applyFont="1" applyFill="1" applyBorder="1" applyAlignment="1">
      <alignment horizontal="center" vertical="center" wrapText="1"/>
    </xf>
    <xf numFmtId="0" fontId="72" fillId="8" borderId="55" xfId="22" applyFont="1" applyFill="1" applyBorder="1" applyAlignment="1">
      <alignment horizontal="center" vertical="center" wrapText="1"/>
    </xf>
    <xf numFmtId="0" fontId="69" fillId="8" borderId="95" xfId="0" applyNumberFormat="1" applyFont="1" applyFill="1" applyBorder="1" applyAlignment="1">
      <alignment horizontal="center" vertical="center" wrapText="1"/>
    </xf>
    <xf numFmtId="0" fontId="69" fillId="8" borderId="31" xfId="0" applyNumberFormat="1" applyFont="1" applyFill="1" applyBorder="1" applyAlignment="1">
      <alignment horizontal="center" vertical="center" wrapText="1"/>
    </xf>
    <xf numFmtId="0" fontId="69" fillId="8" borderId="94" xfId="0" applyNumberFormat="1" applyFont="1" applyFill="1" applyBorder="1" applyAlignment="1">
      <alignment horizontal="center" vertical="center" wrapText="1"/>
    </xf>
    <xf numFmtId="0" fontId="69" fillId="8" borderId="55" xfId="0" applyNumberFormat="1" applyFont="1" applyFill="1" applyBorder="1" applyAlignment="1">
      <alignment horizontal="center" vertical="center" wrapText="1"/>
    </xf>
    <xf numFmtId="0" fontId="46" fillId="0" borderId="94" xfId="0" applyNumberFormat="1" applyFont="1" applyFill="1" applyBorder="1" applyAlignment="1">
      <alignment horizontal="center" vertical="center" wrapText="1"/>
    </xf>
    <xf numFmtId="0" fontId="46" fillId="0" borderId="46" xfId="0" applyNumberFormat="1" applyFont="1" applyFill="1" applyBorder="1" applyAlignment="1">
      <alignment horizontal="center" vertical="center" wrapText="1"/>
    </xf>
    <xf numFmtId="0" fontId="46" fillId="0" borderId="55" xfId="0" applyNumberFormat="1" applyFont="1" applyFill="1" applyBorder="1" applyAlignment="1">
      <alignment horizontal="center" vertical="center" wrapText="1"/>
    </xf>
    <xf numFmtId="0" fontId="46" fillId="0" borderId="91" xfId="0" applyNumberFormat="1" applyFont="1" applyFill="1" applyBorder="1" applyAlignment="1">
      <alignment horizontal="center" vertical="center"/>
    </xf>
    <xf numFmtId="0" fontId="46" fillId="0" borderId="93" xfId="0" applyNumberFormat="1" applyFont="1" applyFill="1" applyBorder="1" applyAlignment="1">
      <alignment horizontal="center" vertical="center"/>
    </xf>
    <xf numFmtId="0" fontId="46" fillId="0" borderId="91" xfId="0" applyNumberFormat="1" applyFont="1" applyFill="1" applyBorder="1" applyAlignment="1">
      <alignment horizontal="center" vertical="center" wrapText="1"/>
    </xf>
    <xf numFmtId="0" fontId="46" fillId="0" borderId="93" xfId="0" applyNumberFormat="1" applyFont="1" applyFill="1" applyBorder="1" applyAlignment="1">
      <alignment horizontal="center" vertical="center" wrapText="1"/>
    </xf>
    <xf numFmtId="0" fontId="45" fillId="0" borderId="91" xfId="0" applyNumberFormat="1" applyFont="1" applyFill="1" applyBorder="1" applyAlignment="1">
      <alignment horizontal="center" vertical="center" wrapText="1"/>
    </xf>
    <xf numFmtId="0" fontId="45" fillId="0" borderId="93" xfId="0" applyNumberFormat="1" applyFont="1" applyFill="1" applyBorder="1" applyAlignment="1">
      <alignment horizontal="center" vertical="center" wrapText="1"/>
    </xf>
    <xf numFmtId="0" fontId="46" fillId="0" borderId="92" xfId="0" applyNumberFormat="1" applyFont="1" applyFill="1" applyBorder="1" applyAlignment="1">
      <alignment horizontal="center" vertical="center"/>
    </xf>
    <xf numFmtId="0" fontId="36" fillId="8" borderId="65" xfId="0" applyFont="1" applyFill="1" applyBorder="1" applyAlignment="1">
      <alignment horizontal="center" vertical="top" wrapText="1"/>
    </xf>
    <xf numFmtId="0" fontId="46" fillId="8" borderId="91" xfId="0" applyFont="1" applyFill="1" applyBorder="1" applyAlignment="1">
      <alignment horizontal="center" vertical="center" wrapText="1"/>
    </xf>
    <xf numFmtId="0" fontId="46" fillId="8" borderId="93" xfId="0" applyFont="1" applyFill="1" applyBorder="1" applyAlignment="1">
      <alignment horizontal="center" vertical="center" wrapText="1"/>
    </xf>
    <xf numFmtId="17" fontId="36" fillId="8" borderId="65" xfId="1" applyNumberFormat="1" applyFont="1" applyFill="1" applyBorder="1" applyAlignment="1">
      <alignment horizontal="center" vertical="top" wrapText="1"/>
    </xf>
    <xf numFmtId="0" fontId="36" fillId="8" borderId="65" xfId="1" applyNumberFormat="1" applyFont="1" applyFill="1" applyBorder="1" applyAlignment="1">
      <alignment horizontal="center" vertical="top" wrapText="1"/>
    </xf>
    <xf numFmtId="182" fontId="36" fillId="0" borderId="103" xfId="0" applyNumberFormat="1" applyFont="1" applyFill="1" applyBorder="1" applyAlignment="1">
      <alignment horizontal="left" vertical="top" wrapText="1"/>
    </xf>
    <xf numFmtId="182" fontId="36" fillId="0" borderId="114" xfId="0" applyNumberFormat="1" applyFont="1" applyFill="1" applyBorder="1" applyAlignment="1">
      <alignment horizontal="left" vertical="top" wrapText="1"/>
    </xf>
    <xf numFmtId="0" fontId="72" fillId="0" borderId="65" xfId="0" applyFont="1" applyFill="1" applyBorder="1" applyAlignment="1">
      <alignment horizontal="center" vertical="top" wrapText="1"/>
    </xf>
    <xf numFmtId="0" fontId="36" fillId="0" borderId="91" xfId="0" applyFont="1" applyFill="1" applyBorder="1" applyAlignment="1">
      <alignment horizontal="left" vertical="top" wrapText="1"/>
    </xf>
    <xf numFmtId="0" fontId="36" fillId="0" borderId="92" xfId="0" applyFont="1" applyFill="1" applyBorder="1" applyAlignment="1">
      <alignment horizontal="left" vertical="top" wrapText="1"/>
    </xf>
    <xf numFmtId="0" fontId="36" fillId="0" borderId="93" xfId="0" applyFont="1" applyFill="1" applyBorder="1" applyAlignment="1">
      <alignment horizontal="left" vertical="top" wrapText="1"/>
    </xf>
    <xf numFmtId="181" fontId="36" fillId="0" borderId="31" xfId="0" applyNumberFormat="1" applyFont="1" applyFill="1" applyBorder="1" applyAlignment="1">
      <alignment horizontal="left" vertical="top" wrapText="1"/>
    </xf>
    <xf numFmtId="181" fontId="36" fillId="0" borderId="83" xfId="0" applyNumberFormat="1" applyFont="1" applyFill="1" applyBorder="1" applyAlignment="1">
      <alignment horizontal="left" vertical="top" wrapText="1"/>
    </xf>
    <xf numFmtId="181" fontId="36" fillId="0" borderId="111" xfId="0" applyNumberFormat="1" applyFont="1" applyFill="1" applyBorder="1" applyAlignment="1">
      <alignment horizontal="left" vertical="top" wrapText="1"/>
    </xf>
    <xf numFmtId="181" fontId="36" fillId="0" borderId="114" xfId="0" applyNumberFormat="1" applyFont="1" applyFill="1" applyBorder="1" applyAlignment="1">
      <alignment horizontal="left" vertical="top" wrapText="1"/>
    </xf>
    <xf numFmtId="181" fontId="36" fillId="0" borderId="115" xfId="0" applyNumberFormat="1" applyFont="1" applyFill="1" applyBorder="1" applyAlignment="1">
      <alignment horizontal="center" vertical="top" wrapText="1"/>
    </xf>
    <xf numFmtId="181" fontId="36" fillId="0" borderId="116" xfId="0" applyNumberFormat="1" applyFont="1" applyFill="1" applyBorder="1" applyAlignment="1">
      <alignment horizontal="center" vertical="top" wrapText="1"/>
    </xf>
    <xf numFmtId="181" fontId="36" fillId="0" borderId="117" xfId="0" applyNumberFormat="1" applyFont="1" applyFill="1" applyBorder="1" applyAlignment="1">
      <alignment horizontal="center" vertical="top" wrapText="1"/>
    </xf>
    <xf numFmtId="0" fontId="72" fillId="0" borderId="114" xfId="0" applyFont="1" applyFill="1" applyBorder="1" applyAlignment="1">
      <alignment horizontal="center" vertical="top" wrapText="1"/>
    </xf>
    <xf numFmtId="0" fontId="36" fillId="0" borderId="31" xfId="0" applyFont="1" applyFill="1" applyBorder="1" applyAlignment="1">
      <alignment horizontal="left" vertical="top" wrapText="1"/>
    </xf>
    <xf numFmtId="0" fontId="36" fillId="0" borderId="83" xfId="0" applyFont="1" applyFill="1" applyBorder="1" applyAlignment="1">
      <alignment horizontal="left" vertical="top" wrapText="1"/>
    </xf>
    <xf numFmtId="0" fontId="36" fillId="0" borderId="111" xfId="0" applyFont="1" applyFill="1" applyBorder="1" applyAlignment="1">
      <alignment horizontal="left" vertical="top" wrapText="1"/>
    </xf>
    <xf numFmtId="182" fontId="36" fillId="0" borderId="91" xfId="0" applyNumberFormat="1" applyFont="1" applyFill="1" applyBorder="1" applyAlignment="1">
      <alignment horizontal="left" vertical="top" wrapText="1"/>
    </xf>
    <xf numFmtId="182" fontId="36" fillId="0" borderId="92" xfId="0" applyNumberFormat="1" applyFont="1" applyFill="1" applyBorder="1" applyAlignment="1">
      <alignment horizontal="left" vertical="top" wrapText="1"/>
    </xf>
    <xf numFmtId="182" fontId="36" fillId="0" borderId="93" xfId="0" applyNumberFormat="1" applyFont="1" applyFill="1" applyBorder="1" applyAlignment="1">
      <alignment horizontal="left" vertical="top" wrapText="1"/>
    </xf>
    <xf numFmtId="0" fontId="36" fillId="0" borderId="118" xfId="0" applyFont="1" applyFill="1" applyBorder="1" applyAlignment="1">
      <alignment horizontal="center"/>
    </xf>
    <xf numFmtId="0" fontId="36" fillId="0" borderId="113" xfId="0" applyFont="1" applyFill="1" applyBorder="1" applyAlignment="1">
      <alignment horizontal="center"/>
    </xf>
    <xf numFmtId="0" fontId="36" fillId="0" borderId="119" xfId="0" applyFont="1" applyFill="1" applyBorder="1" applyAlignment="1">
      <alignment horizontal="center"/>
    </xf>
    <xf numFmtId="181" fontId="72" fillId="0" borderId="31" xfId="0" applyNumberFormat="1" applyFont="1" applyFill="1" applyBorder="1" applyAlignment="1">
      <alignment horizontal="center" vertical="top" wrapText="1"/>
    </xf>
    <xf numFmtId="181" fontId="72" fillId="0" borderId="83" xfId="0" applyNumberFormat="1" applyFont="1" applyFill="1" applyBorder="1" applyAlignment="1">
      <alignment horizontal="center" vertical="top" wrapText="1"/>
    </xf>
    <xf numFmtId="181" fontId="72" fillId="0" borderId="111" xfId="0" applyNumberFormat="1" applyFont="1" applyFill="1" applyBorder="1" applyAlignment="1">
      <alignment horizontal="center" vertical="top" wrapText="1"/>
    </xf>
    <xf numFmtId="0" fontId="72" fillId="0" borderId="91" xfId="0" applyFont="1" applyFill="1" applyBorder="1" applyAlignment="1">
      <alignment horizontal="center"/>
    </xf>
    <xf numFmtId="0" fontId="72" fillId="0" borderId="92" xfId="0" applyFont="1" applyFill="1" applyBorder="1" applyAlignment="1">
      <alignment horizontal="center"/>
    </xf>
    <xf numFmtId="0" fontId="72" fillId="0" borderId="93" xfId="0" applyFont="1" applyFill="1" applyBorder="1" applyAlignment="1">
      <alignment horizontal="center"/>
    </xf>
    <xf numFmtId="0" fontId="78" fillId="0" borderId="0" xfId="0" applyFont="1" applyFill="1" applyBorder="1" applyAlignment="1">
      <alignment horizontal="left"/>
    </xf>
    <xf numFmtId="0" fontId="34" fillId="0" borderId="0" xfId="0" applyNumberFormat="1" applyFont="1" applyFill="1" applyAlignment="1">
      <alignment horizontal="left" vertical="top" wrapText="1"/>
    </xf>
    <xf numFmtId="0" fontId="45" fillId="8" borderId="46" xfId="0" applyNumberFormat="1" applyFont="1" applyFill="1" applyBorder="1" applyAlignment="1">
      <alignment horizontal="center" vertical="center" wrapText="1"/>
    </xf>
    <xf numFmtId="182" fontId="86" fillId="0" borderId="115" xfId="0" applyNumberFormat="1" applyFont="1" applyFill="1" applyBorder="1" applyAlignment="1">
      <alignment horizontal="center" vertical="top"/>
    </xf>
    <xf numFmtId="182" fontId="86" fillId="0" borderId="116" xfId="0" applyNumberFormat="1" applyFont="1" applyFill="1" applyBorder="1" applyAlignment="1">
      <alignment horizontal="center" vertical="top"/>
    </xf>
    <xf numFmtId="182" fontId="86" fillId="0" borderId="118" xfId="0" applyNumberFormat="1" applyFont="1" applyFill="1" applyBorder="1" applyAlignment="1">
      <alignment horizontal="center" vertical="top"/>
    </xf>
    <xf numFmtId="182" fontId="86" fillId="0" borderId="113" xfId="0" applyNumberFormat="1" applyFont="1" applyFill="1" applyBorder="1" applyAlignment="1">
      <alignment horizontal="center" vertical="top"/>
    </xf>
  </cellXfs>
  <cellStyles count="75">
    <cellStyle name="Comma" xfId="1" builtinId="3"/>
    <cellStyle name="Comma 11" xfId="55"/>
    <cellStyle name="Comma 12" xfId="54"/>
    <cellStyle name="Comma 2" xfId="2"/>
    <cellStyle name="Comma 2 2" xfId="24"/>
    <cellStyle name="Comma 2 4" xfId="67"/>
    <cellStyle name="Comma 3" xfId="3"/>
    <cellStyle name="Comma 4" xfId="31"/>
    <cellStyle name="Comma 4 2" xfId="40"/>
    <cellStyle name="Comma 5" xfId="42"/>
    <cellStyle name="Comma 5 2" xfId="59"/>
    <cellStyle name="Comma 5 3" xfId="69"/>
    <cellStyle name="Comma 6" xfId="63"/>
    <cellStyle name="Comma 6 2" xfId="73"/>
    <cellStyle name="Indian Comma" xfId="4"/>
    <cellStyle name="Indian Comma 13" xfId="37"/>
    <cellStyle name="Indian Comma 2" xfId="15"/>
    <cellStyle name="Normal" xfId="0" builtinId="0"/>
    <cellStyle name="Normal 10" xfId="17"/>
    <cellStyle name="Normal 11" xfId="18"/>
    <cellStyle name="Normal 11 2" xfId="46"/>
    <cellStyle name="Normal 12" xfId="27"/>
    <cellStyle name="Normal 12 2" xfId="39"/>
    <cellStyle name="Normal 12 3" xfId="50"/>
    <cellStyle name="Normal 13" xfId="38"/>
    <cellStyle name="Normal 14" xfId="41"/>
    <cellStyle name="Normal 14 2" xfId="57"/>
    <cellStyle name="Normal 14 3" xfId="68"/>
    <cellStyle name="Normal 15" xfId="45"/>
    <cellStyle name="Normal 16" xfId="61"/>
    <cellStyle name="Normal 16 2" xfId="71"/>
    <cellStyle name="Normal 18" xfId="51"/>
    <cellStyle name="Normal 2" xfId="12"/>
    <cellStyle name="Normal 2 2" xfId="49"/>
    <cellStyle name="Normal 23" xfId="53"/>
    <cellStyle name="Normal 3" xfId="5"/>
    <cellStyle name="Normal 3 144" xfId="6"/>
    <cellStyle name="Normal 3 144 2" xfId="22"/>
    <cellStyle name="Normal 3 2" xfId="25"/>
    <cellStyle name="Normal 3 3" xfId="33"/>
    <cellStyle name="Normal 3 4" xfId="52"/>
    <cellStyle name="Normal 3 4 2" xfId="56"/>
    <cellStyle name="Normal 3 4 3" xfId="66"/>
    <cellStyle name="Normal 30" xfId="36"/>
    <cellStyle name="Normal 4" xfId="13"/>
    <cellStyle name="Normal 5" xfId="7"/>
    <cellStyle name="Normal 5 2" xfId="21"/>
    <cellStyle name="Normal 5 3" xfId="29"/>
    <cellStyle name="Normal 6" xfId="8"/>
    <cellStyle name="Normal 6 2" xfId="26"/>
    <cellStyle name="Normal 6 3" xfId="47"/>
    <cellStyle name="Normal 60" xfId="9"/>
    <cellStyle name="Normal 60 2" xfId="23"/>
    <cellStyle name="Normal 60 3" xfId="32"/>
    <cellStyle name="Normal 60 4" xfId="44"/>
    <cellStyle name="Normal 60 4 2" xfId="64"/>
    <cellStyle name="Normal 60 4 3" xfId="74"/>
    <cellStyle name="Normal 60 5" xfId="62"/>
    <cellStyle name="Normal 60 6" xfId="72"/>
    <cellStyle name="Normal 7" xfId="10"/>
    <cellStyle name="Normal 7 2" xfId="16"/>
    <cellStyle name="Normal 7 3" xfId="19"/>
    <cellStyle name="Normal 7 4" xfId="48"/>
    <cellStyle name="Normal 8" xfId="11"/>
    <cellStyle name="Normal 8 2" xfId="20"/>
    <cellStyle name="Normal 8 3" xfId="28"/>
    <cellStyle name="Normal 9" xfId="14"/>
    <cellStyle name="Normal_Sanju Tables" xfId="34"/>
    <cellStyle name="Normal_tables-oct" xfId="58"/>
    <cellStyle name="Normal_tables-oct 3" xfId="65"/>
    <cellStyle name="Percent" xfId="35" builtinId="5"/>
    <cellStyle name="Percent 2" xfId="30"/>
    <cellStyle name="Percent 3" xfId="43"/>
    <cellStyle name="Percent 3 2" xfId="60"/>
    <cellStyle name="Percent 3 3" xfId="7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4.xml"/><Relationship Id="rId89" Type="http://schemas.openxmlformats.org/officeDocument/2006/relationships/customXml" Target="../customXml/item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customXml" Target="../customXml/item10.xml"/><Relationship Id="rId95" Type="http://schemas.openxmlformats.org/officeDocument/2006/relationships/customXml" Target="../customXml/item1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calcChain" Target="calcChain.xml"/><Relationship Id="rId85"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3.xml"/><Relationship Id="rId88" Type="http://schemas.openxmlformats.org/officeDocument/2006/relationships/customXml" Target="../customXml/item8.xml"/><Relationship Id="rId91" Type="http://schemas.openxmlformats.org/officeDocument/2006/relationships/customXml" Target="../customXml/item11.xml"/><Relationship Id="rId96"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86" Type="http://schemas.openxmlformats.org/officeDocument/2006/relationships/customXml" Target="../customXml/item6.xml"/><Relationship Id="rId94"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97" Type="http://schemas.openxmlformats.org/officeDocument/2006/relationships/customXml" Target="../customXml/item1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7.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ustomXml" Target="../customXml/item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49/Documents/Bulletin%20tables%20-Feb%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3"/>
      <sheetName val="64"/>
      <sheetName val="65"/>
      <sheetName val="66"/>
      <sheetName val="67"/>
      <sheetName val="68"/>
      <sheetName val="69"/>
      <sheetName val="70"/>
      <sheetName val="71"/>
      <sheetName val="72"/>
      <sheetName val="73"/>
    </sheetNames>
    <sheetDataSet>
      <sheetData sheetId="0" refreshError="1"/>
      <sheetData sheetId="1">
        <row r="8">
          <cell r="A8" t="str">
            <v>$ indicates as on February 28, 2021</v>
          </cell>
        </row>
      </sheetData>
      <sheetData sheetId="2" refreshError="1"/>
      <sheetData sheetId="3">
        <row r="17">
          <cell r="A17" t="str">
            <v>$ indicates as on February 28, 2021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20The%20issues%20are%20exclusively%20listed%20on%20respective%20exchanges." TargetMode="External"/><Relationship Id="rId1" Type="http://schemas.openxmlformats.org/officeDocument/2006/relationships/hyperlink" Target="mailto:MSEI@"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SEI@"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78"/>
  <sheetViews>
    <sheetView topLeftCell="A40" zoomScaleNormal="100" workbookViewId="0">
      <selection activeCell="A61" sqref="A61"/>
    </sheetView>
  </sheetViews>
  <sheetFormatPr defaultColWidth="8.85546875" defaultRowHeight="15"/>
  <cols>
    <col min="1" max="1" width="131.140625" style="21" bestFit="1" customWidth="1"/>
    <col min="2" max="16384" width="8.85546875" style="21"/>
  </cols>
  <sheetData>
    <row r="1" spans="1:1" s="22" customFormat="1">
      <c r="A1" s="370" t="s">
        <v>0</v>
      </c>
    </row>
    <row r="2" spans="1:1" s="22" customFormat="1">
      <c r="A2" s="977" t="s">
        <v>326</v>
      </c>
    </row>
    <row r="3" spans="1:1" s="22" customFormat="1">
      <c r="A3" s="977" t="s">
        <v>323</v>
      </c>
    </row>
    <row r="4" spans="1:1" s="22" customFormat="1">
      <c r="A4" s="977" t="s">
        <v>320</v>
      </c>
    </row>
    <row r="5" spans="1:1" s="22" customFormat="1">
      <c r="A5" s="977" t="s">
        <v>240</v>
      </c>
    </row>
    <row r="6" spans="1:1" s="22" customFormat="1">
      <c r="A6" s="977" t="s">
        <v>241</v>
      </c>
    </row>
    <row r="7" spans="1:1" s="22" customFormat="1">
      <c r="A7" s="977" t="s">
        <v>242</v>
      </c>
    </row>
    <row r="8" spans="1:1" s="22" customFormat="1">
      <c r="A8" s="977" t="s">
        <v>243</v>
      </c>
    </row>
    <row r="9" spans="1:1" s="22" customFormat="1">
      <c r="A9" s="978" t="s">
        <v>244</v>
      </c>
    </row>
    <row r="10" spans="1:1" s="22" customFormat="1">
      <c r="A10" s="977" t="s">
        <v>245</v>
      </c>
    </row>
    <row r="11" spans="1:1" s="22" customFormat="1">
      <c r="A11" s="977" t="s">
        <v>246</v>
      </c>
    </row>
    <row r="12" spans="1:1" s="22" customFormat="1">
      <c r="A12" s="977" t="s">
        <v>324</v>
      </c>
    </row>
    <row r="13" spans="1:1" s="22" customFormat="1">
      <c r="A13" s="977" t="s">
        <v>325</v>
      </c>
    </row>
    <row r="14" spans="1:1" s="22" customFormat="1">
      <c r="A14" s="977" t="s">
        <v>247</v>
      </c>
    </row>
    <row r="15" spans="1:1" s="22" customFormat="1">
      <c r="A15" s="977" t="s">
        <v>248</v>
      </c>
    </row>
    <row r="16" spans="1:1" s="22" customFormat="1">
      <c r="A16" s="977" t="s">
        <v>249</v>
      </c>
    </row>
    <row r="17" spans="1:1" s="22" customFormat="1">
      <c r="A17" s="977" t="s">
        <v>318</v>
      </c>
    </row>
    <row r="18" spans="1:1" s="22" customFormat="1">
      <c r="A18" s="977" t="s">
        <v>250</v>
      </c>
    </row>
    <row r="19" spans="1:1" s="22" customFormat="1">
      <c r="A19" s="977" t="s">
        <v>251</v>
      </c>
    </row>
    <row r="20" spans="1:1" s="22" customFormat="1">
      <c r="A20" s="977" t="s">
        <v>252</v>
      </c>
    </row>
    <row r="21" spans="1:1" s="22" customFormat="1">
      <c r="A21" s="977" t="s">
        <v>327</v>
      </c>
    </row>
    <row r="22" spans="1:1" s="22" customFormat="1">
      <c r="A22" s="977" t="s">
        <v>253</v>
      </c>
    </row>
    <row r="23" spans="1:1" s="22" customFormat="1">
      <c r="A23" s="977" t="s">
        <v>254</v>
      </c>
    </row>
    <row r="24" spans="1:1" s="22" customFormat="1">
      <c r="A24" s="977" t="s">
        <v>255</v>
      </c>
    </row>
    <row r="25" spans="1:1" s="22" customFormat="1">
      <c r="A25" s="977" t="s">
        <v>393</v>
      </c>
    </row>
    <row r="26" spans="1:1" s="22" customFormat="1">
      <c r="A26" s="977" t="s">
        <v>394</v>
      </c>
    </row>
    <row r="27" spans="1:1" s="22" customFormat="1">
      <c r="A27" s="977" t="s">
        <v>395</v>
      </c>
    </row>
    <row r="28" spans="1:1" s="22" customFormat="1">
      <c r="A28" s="977" t="s">
        <v>328</v>
      </c>
    </row>
    <row r="29" spans="1:1" s="22" customFormat="1">
      <c r="A29" s="977" t="s">
        <v>330</v>
      </c>
    </row>
    <row r="30" spans="1:1" s="22" customFormat="1">
      <c r="A30" s="977" t="s">
        <v>335</v>
      </c>
    </row>
    <row r="31" spans="1:1" s="22" customFormat="1">
      <c r="A31" s="977" t="s">
        <v>350</v>
      </c>
    </row>
    <row r="32" spans="1:1" s="22" customFormat="1">
      <c r="A32" s="977" t="s">
        <v>256</v>
      </c>
    </row>
    <row r="33" spans="1:1" s="22" customFormat="1">
      <c r="A33" s="977" t="s">
        <v>425</v>
      </c>
    </row>
    <row r="34" spans="1:1" s="22" customFormat="1">
      <c r="A34" s="977" t="s">
        <v>257</v>
      </c>
    </row>
    <row r="35" spans="1:1" s="22" customFormat="1">
      <c r="A35" s="977" t="s">
        <v>258</v>
      </c>
    </row>
    <row r="36" spans="1:1" s="22" customFormat="1">
      <c r="A36" s="977" t="s">
        <v>259</v>
      </c>
    </row>
    <row r="37" spans="1:1" s="22" customFormat="1">
      <c r="A37" s="977" t="s">
        <v>355</v>
      </c>
    </row>
    <row r="38" spans="1:1" s="22" customFormat="1">
      <c r="A38" s="977" t="s">
        <v>260</v>
      </c>
    </row>
    <row r="39" spans="1:1" s="22" customFormat="1">
      <c r="A39" s="977" t="s">
        <v>261</v>
      </c>
    </row>
    <row r="40" spans="1:1" s="22" customFormat="1">
      <c r="A40" s="977" t="s">
        <v>262</v>
      </c>
    </row>
    <row r="41" spans="1:1" s="22" customFormat="1">
      <c r="A41" s="977" t="s">
        <v>263</v>
      </c>
    </row>
    <row r="42" spans="1:1" s="22" customFormat="1">
      <c r="A42" s="977" t="s">
        <v>264</v>
      </c>
    </row>
    <row r="43" spans="1:1" s="22" customFormat="1">
      <c r="A43" s="977" t="s">
        <v>265</v>
      </c>
    </row>
    <row r="44" spans="1:1" s="22" customFormat="1">
      <c r="A44" s="977" t="s">
        <v>266</v>
      </c>
    </row>
    <row r="45" spans="1:1" s="22" customFormat="1">
      <c r="A45" s="977" t="s">
        <v>332</v>
      </c>
    </row>
    <row r="46" spans="1:1" s="22" customFormat="1">
      <c r="A46" s="977" t="s">
        <v>267</v>
      </c>
    </row>
    <row r="47" spans="1:1" s="22" customFormat="1">
      <c r="A47" s="977" t="s">
        <v>268</v>
      </c>
    </row>
    <row r="48" spans="1:1" s="22" customFormat="1">
      <c r="A48" s="977" t="s">
        <v>269</v>
      </c>
    </row>
    <row r="49" spans="1:1" s="22" customFormat="1">
      <c r="A49" s="977" t="s">
        <v>333</v>
      </c>
    </row>
    <row r="50" spans="1:1" s="22" customFormat="1">
      <c r="A50" s="977" t="s">
        <v>334</v>
      </c>
    </row>
    <row r="51" spans="1:1" s="22" customFormat="1">
      <c r="A51" s="977" t="s">
        <v>336</v>
      </c>
    </row>
    <row r="52" spans="1:1" s="22" customFormat="1">
      <c r="A52" s="977" t="s">
        <v>428</v>
      </c>
    </row>
    <row r="53" spans="1:1" s="22" customFormat="1">
      <c r="A53" s="977" t="s">
        <v>429</v>
      </c>
    </row>
    <row r="54" spans="1:1" s="22" customFormat="1">
      <c r="A54" s="977" t="s">
        <v>270</v>
      </c>
    </row>
    <row r="55" spans="1:1" s="22" customFormat="1">
      <c r="A55" s="978" t="s">
        <v>337</v>
      </c>
    </row>
    <row r="56" spans="1:1" s="22" customFormat="1">
      <c r="A56" s="977" t="s">
        <v>271</v>
      </c>
    </row>
    <row r="57" spans="1:1" s="22" customFormat="1">
      <c r="A57" s="977" t="s">
        <v>338</v>
      </c>
    </row>
    <row r="58" spans="1:1" s="22" customFormat="1">
      <c r="A58" s="977" t="s">
        <v>272</v>
      </c>
    </row>
    <row r="59" spans="1:1" s="22" customFormat="1">
      <c r="A59" s="977" t="s">
        <v>339</v>
      </c>
    </row>
    <row r="60" spans="1:1" s="22" customFormat="1">
      <c r="A60" s="977" t="s">
        <v>340</v>
      </c>
    </row>
    <row r="61" spans="1:1" s="22" customFormat="1">
      <c r="A61" s="977" t="s">
        <v>389</v>
      </c>
    </row>
    <row r="62" spans="1:1" s="22" customFormat="1">
      <c r="A62" s="977" t="s">
        <v>273</v>
      </c>
    </row>
    <row r="63" spans="1:1" s="22" customFormat="1">
      <c r="A63" s="977" t="s">
        <v>390</v>
      </c>
    </row>
    <row r="64" spans="1:1" s="22" customFormat="1">
      <c r="A64" s="977" t="s">
        <v>341</v>
      </c>
    </row>
    <row r="65" spans="1:1" s="22" customFormat="1">
      <c r="A65" s="977" t="s">
        <v>342</v>
      </c>
    </row>
    <row r="66" spans="1:1" s="22" customFormat="1">
      <c r="A66" s="977" t="s">
        <v>343</v>
      </c>
    </row>
    <row r="67" spans="1:1" s="22" customFormat="1">
      <c r="A67" s="977" t="s">
        <v>430</v>
      </c>
    </row>
    <row r="68" spans="1:1" s="22" customFormat="1">
      <c r="A68" s="977" t="s">
        <v>344</v>
      </c>
    </row>
    <row r="69" spans="1:1" s="22" customFormat="1">
      <c r="A69" s="977" t="s">
        <v>345</v>
      </c>
    </row>
    <row r="70" spans="1:1" s="22" customFormat="1">
      <c r="A70" s="977" t="s">
        <v>346</v>
      </c>
    </row>
    <row r="71" spans="1:1" s="22" customFormat="1">
      <c r="A71" s="977" t="s">
        <v>925</v>
      </c>
    </row>
    <row r="72" spans="1:1" s="22" customFormat="1">
      <c r="A72" s="977" t="s">
        <v>347</v>
      </c>
    </row>
    <row r="73" spans="1:1" s="22" customFormat="1">
      <c r="A73" s="977" t="s">
        <v>348</v>
      </c>
    </row>
    <row r="74" spans="1:1" s="22" customFormat="1">
      <c r="A74" s="977" t="s">
        <v>349</v>
      </c>
    </row>
    <row r="75" spans="1:1" s="22" customFormat="1">
      <c r="A75" s="977" t="s">
        <v>274</v>
      </c>
    </row>
    <row r="76" spans="1:1" s="22" customFormat="1"/>
    <row r="78" spans="1:1">
      <c r="A78" s="167" t="s">
        <v>447</v>
      </c>
    </row>
  </sheetData>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0"/>
  <sheetViews>
    <sheetView workbookViewId="0">
      <selection activeCell="J27" sqref="J27"/>
    </sheetView>
  </sheetViews>
  <sheetFormatPr defaultColWidth="8.85546875" defaultRowHeight="15"/>
  <cols>
    <col min="1" max="1" width="8.7109375" style="21" customWidth="1"/>
    <col min="2" max="2" width="8" style="21" customWidth="1"/>
    <col min="3" max="3" width="8.28515625" style="21" customWidth="1"/>
    <col min="4" max="4" width="7.42578125" style="21" customWidth="1"/>
    <col min="5" max="5" width="8.42578125" style="21" bestFit="1" customWidth="1"/>
    <col min="6" max="6" width="7.42578125" style="21" customWidth="1"/>
    <col min="7" max="7" width="8.42578125" style="21" bestFit="1" customWidth="1"/>
    <col min="8" max="8" width="7.42578125" style="21" customWidth="1"/>
    <col min="9" max="9" width="8.42578125" style="21" bestFit="1" customWidth="1"/>
    <col min="10" max="10" width="7.42578125" style="21" customWidth="1"/>
    <col min="11" max="11" width="8.42578125" style="21" bestFit="1" customWidth="1"/>
    <col min="12" max="12" width="8" style="21" customWidth="1"/>
    <col min="13" max="13" width="8.42578125" style="21" bestFit="1" customWidth="1"/>
    <col min="14" max="14" width="7.28515625" style="21" bestFit="1" customWidth="1"/>
    <col min="15" max="15" width="10.140625" style="21" customWidth="1"/>
    <col min="16" max="16384" width="8.85546875" style="21"/>
  </cols>
  <sheetData>
    <row r="1" spans="1:15" ht="15" customHeight="1">
      <c r="A1" s="1236" t="s">
        <v>309</v>
      </c>
      <c r="B1" s="1236"/>
      <c r="C1" s="1236"/>
      <c r="D1" s="1236"/>
      <c r="E1" s="1236"/>
      <c r="F1" s="1236"/>
      <c r="G1" s="1236"/>
      <c r="H1" s="1236"/>
      <c r="I1" s="1236"/>
      <c r="J1" s="1236"/>
      <c r="K1" s="1236"/>
      <c r="L1" s="1236"/>
      <c r="M1" s="1236"/>
      <c r="N1" s="1236"/>
    </row>
    <row r="2" spans="1:15" s="24" customFormat="1">
      <c r="A2" s="1237" t="s">
        <v>51</v>
      </c>
      <c r="B2" s="1239" t="s">
        <v>53</v>
      </c>
      <c r="C2" s="1240"/>
      <c r="D2" s="1241" t="s">
        <v>443</v>
      </c>
      <c r="E2" s="1242"/>
      <c r="F2" s="1241" t="s">
        <v>405</v>
      </c>
      <c r="G2" s="1242"/>
      <c r="H2" s="1241" t="s">
        <v>406</v>
      </c>
      <c r="I2" s="1242"/>
      <c r="J2" s="1241" t="s">
        <v>407</v>
      </c>
      <c r="K2" s="1242"/>
      <c r="L2" s="1241" t="s">
        <v>408</v>
      </c>
      <c r="M2" s="1242"/>
      <c r="N2" s="1241" t="s">
        <v>409</v>
      </c>
      <c r="O2" s="1242"/>
    </row>
    <row r="3" spans="1:15" s="24" customFormat="1" ht="30">
      <c r="A3" s="1238"/>
      <c r="B3" s="191" t="s">
        <v>69</v>
      </c>
      <c r="C3" s="191" t="s">
        <v>441</v>
      </c>
      <c r="D3" s="191" t="s">
        <v>69</v>
      </c>
      <c r="E3" s="191" t="s">
        <v>441</v>
      </c>
      <c r="F3" s="191" t="s">
        <v>69</v>
      </c>
      <c r="G3" s="191" t="s">
        <v>441</v>
      </c>
      <c r="H3" s="191" t="s">
        <v>69</v>
      </c>
      <c r="I3" s="191" t="s">
        <v>441</v>
      </c>
      <c r="J3" s="191" t="s">
        <v>69</v>
      </c>
      <c r="K3" s="191" t="s">
        <v>441</v>
      </c>
      <c r="L3" s="191" t="s">
        <v>69</v>
      </c>
      <c r="M3" s="191" t="s">
        <v>441</v>
      </c>
      <c r="N3" s="191" t="s">
        <v>69</v>
      </c>
      <c r="O3" s="191" t="s">
        <v>441</v>
      </c>
    </row>
    <row r="4" spans="1:15" s="22" customFormat="1">
      <c r="A4" s="220" t="s">
        <v>58</v>
      </c>
      <c r="B4" s="221">
        <v>76</v>
      </c>
      <c r="C4" s="221">
        <v>76964.911663199993</v>
      </c>
      <c r="D4" s="221">
        <v>19</v>
      </c>
      <c r="E4" s="221">
        <v>59.28</v>
      </c>
      <c r="F4" s="221">
        <v>12</v>
      </c>
      <c r="G4" s="221">
        <v>89.88</v>
      </c>
      <c r="H4" s="221">
        <v>24</v>
      </c>
      <c r="I4" s="221">
        <v>481.42686700000002</v>
      </c>
      <c r="J4" s="221">
        <v>1</v>
      </c>
      <c r="K4" s="221">
        <v>60</v>
      </c>
      <c r="L4" s="221">
        <v>8</v>
      </c>
      <c r="M4" s="221">
        <v>2606.6236902000001</v>
      </c>
      <c r="N4" s="221">
        <v>12</v>
      </c>
      <c r="O4" s="221">
        <v>73667.701105999993</v>
      </c>
    </row>
    <row r="5" spans="1:15" s="25" customFormat="1">
      <c r="A5" s="220" t="s">
        <v>61</v>
      </c>
      <c r="B5" s="219">
        <f>SUM(B6:B16)</f>
        <v>59</v>
      </c>
      <c r="C5" s="219">
        <f>SUM(C6:C16)</f>
        <v>103664.72497499998</v>
      </c>
      <c r="D5" s="219">
        <f t="shared" ref="D5:O5" si="0">SUM(D6:D16)</f>
        <v>12</v>
      </c>
      <c r="E5" s="219">
        <f t="shared" si="0"/>
        <v>42.280000000000008</v>
      </c>
      <c r="F5" s="219">
        <f t="shared" si="0"/>
        <v>4</v>
      </c>
      <c r="G5" s="219">
        <f t="shared" si="0"/>
        <v>30.154999999999998</v>
      </c>
      <c r="H5" s="219">
        <f t="shared" si="0"/>
        <v>6</v>
      </c>
      <c r="I5" s="219">
        <f t="shared" si="0"/>
        <v>96.35</v>
      </c>
      <c r="J5" s="219">
        <f t="shared" si="0"/>
        <v>5</v>
      </c>
      <c r="K5" s="219">
        <f t="shared" si="0"/>
        <v>393.28000000000003</v>
      </c>
      <c r="L5" s="219">
        <f t="shared" si="0"/>
        <v>13</v>
      </c>
      <c r="M5" s="219">
        <f t="shared" si="0"/>
        <v>3976.5499749999999</v>
      </c>
      <c r="N5" s="219">
        <f t="shared" si="0"/>
        <v>19</v>
      </c>
      <c r="O5" s="219">
        <f t="shared" si="0"/>
        <v>99126.11</v>
      </c>
    </row>
    <row r="6" spans="1:15" s="24" customFormat="1">
      <c r="A6" s="207">
        <v>43922</v>
      </c>
      <c r="B6" s="208">
        <f t="shared" ref="B6:C12" si="1">D6+H6+L6+N6+F6+J6</f>
        <v>3</v>
      </c>
      <c r="C6" s="208">
        <f t="shared" si="1"/>
        <v>13.919999999999998</v>
      </c>
      <c r="D6" s="223">
        <v>2</v>
      </c>
      <c r="E6" s="223">
        <v>5.64</v>
      </c>
      <c r="F6" s="223">
        <v>1</v>
      </c>
      <c r="G6" s="223">
        <v>8.2799999999999994</v>
      </c>
      <c r="H6" s="223">
        <v>0</v>
      </c>
      <c r="I6" s="223">
        <v>0</v>
      </c>
      <c r="J6" s="223">
        <v>0</v>
      </c>
      <c r="K6" s="223">
        <v>0</v>
      </c>
      <c r="L6" s="223">
        <v>0</v>
      </c>
      <c r="M6" s="223">
        <v>0</v>
      </c>
      <c r="N6" s="223">
        <v>0</v>
      </c>
      <c r="O6" s="223">
        <v>0</v>
      </c>
    </row>
    <row r="7" spans="1:15" s="24" customFormat="1">
      <c r="A7" s="207">
        <v>43952</v>
      </c>
      <c r="B7" s="208">
        <f t="shared" si="1"/>
        <v>0</v>
      </c>
      <c r="C7" s="208">
        <f t="shared" si="1"/>
        <v>0</v>
      </c>
      <c r="D7" s="208">
        <v>0</v>
      </c>
      <c r="E7" s="208">
        <v>0</v>
      </c>
      <c r="F7" s="208">
        <v>0</v>
      </c>
      <c r="G7" s="208">
        <v>0</v>
      </c>
      <c r="H7" s="208">
        <v>0</v>
      </c>
      <c r="I7" s="208">
        <v>0</v>
      </c>
      <c r="J7" s="208">
        <v>0</v>
      </c>
      <c r="K7" s="208">
        <v>0</v>
      </c>
      <c r="L7" s="208">
        <v>0</v>
      </c>
      <c r="M7" s="208">
        <v>0</v>
      </c>
      <c r="N7" s="208">
        <v>0</v>
      </c>
      <c r="O7" s="208">
        <v>0</v>
      </c>
    </row>
    <row r="8" spans="1:15" s="24" customFormat="1">
      <c r="A8" s="207">
        <v>43983</v>
      </c>
      <c r="B8" s="208">
        <f t="shared" si="1"/>
        <v>2</v>
      </c>
      <c r="C8" s="208">
        <f t="shared" si="1"/>
        <v>53126.659999999996</v>
      </c>
      <c r="D8" s="208">
        <v>1</v>
      </c>
      <c r="E8" s="208">
        <v>2.46</v>
      </c>
      <c r="F8" s="208">
        <v>0</v>
      </c>
      <c r="G8" s="208">
        <v>0</v>
      </c>
      <c r="H8" s="208">
        <v>0</v>
      </c>
      <c r="I8" s="208">
        <v>0</v>
      </c>
      <c r="J8" s="208">
        <v>0</v>
      </c>
      <c r="K8" s="208">
        <v>0</v>
      </c>
      <c r="L8" s="208">
        <v>0</v>
      </c>
      <c r="M8" s="208">
        <v>0</v>
      </c>
      <c r="N8" s="208">
        <v>1</v>
      </c>
      <c r="O8" s="208">
        <v>53124.2</v>
      </c>
    </row>
    <row r="9" spans="1:15" s="24" customFormat="1">
      <c r="A9" s="207">
        <v>44013</v>
      </c>
      <c r="B9" s="208">
        <v>5</v>
      </c>
      <c r="C9" s="208">
        <v>15910.569975</v>
      </c>
      <c r="D9" s="208">
        <v>1</v>
      </c>
      <c r="E9" s="208">
        <v>4.0199999999999996</v>
      </c>
      <c r="F9" s="208">
        <v>0</v>
      </c>
      <c r="G9" s="208">
        <v>0</v>
      </c>
      <c r="H9" s="208">
        <v>1</v>
      </c>
      <c r="I9" s="208">
        <v>10.51</v>
      </c>
      <c r="J9" s="208">
        <v>0</v>
      </c>
      <c r="K9" s="208">
        <v>0</v>
      </c>
      <c r="L9" s="208">
        <v>2</v>
      </c>
      <c r="M9" s="208">
        <v>896.03997500000003</v>
      </c>
      <c r="N9" s="208">
        <v>1</v>
      </c>
      <c r="O9" s="208">
        <v>15000</v>
      </c>
    </row>
    <row r="10" spans="1:15" s="24" customFormat="1">
      <c r="A10" s="207">
        <v>44044</v>
      </c>
      <c r="B10" s="208">
        <f t="shared" si="1"/>
        <v>9</v>
      </c>
      <c r="C10" s="208">
        <f t="shared" si="1"/>
        <v>6107.7499999999991</v>
      </c>
      <c r="D10" s="208">
        <v>1</v>
      </c>
      <c r="E10" s="208">
        <v>4.55</v>
      </c>
      <c r="F10" s="208">
        <v>1</v>
      </c>
      <c r="G10" s="208">
        <v>6.9</v>
      </c>
      <c r="H10" s="208">
        <v>1</v>
      </c>
      <c r="I10" s="208">
        <v>24.87</v>
      </c>
      <c r="J10" s="208">
        <v>1</v>
      </c>
      <c r="K10" s="208">
        <v>79.53</v>
      </c>
      <c r="L10" s="208">
        <v>2</v>
      </c>
      <c r="M10" s="208">
        <v>415.77</v>
      </c>
      <c r="N10" s="208">
        <v>3</v>
      </c>
      <c r="O10" s="208">
        <v>5576.13</v>
      </c>
    </row>
    <row r="11" spans="1:15" s="24" customFormat="1">
      <c r="A11" s="207">
        <v>44075</v>
      </c>
      <c r="B11" s="208">
        <f t="shared" si="1"/>
        <v>5</v>
      </c>
      <c r="C11" s="208">
        <f t="shared" si="1"/>
        <v>1671.595</v>
      </c>
      <c r="D11" s="208">
        <v>0</v>
      </c>
      <c r="E11" s="208">
        <v>0</v>
      </c>
      <c r="F11" s="208">
        <v>1</v>
      </c>
      <c r="G11" s="208">
        <v>6.8849999999999998</v>
      </c>
      <c r="H11" s="208">
        <v>0</v>
      </c>
      <c r="I11" s="208">
        <v>0</v>
      </c>
      <c r="J11" s="208">
        <v>0</v>
      </c>
      <c r="K11" s="208">
        <v>0</v>
      </c>
      <c r="L11" s="208">
        <v>2</v>
      </c>
      <c r="M11" s="208">
        <v>362.69</v>
      </c>
      <c r="N11" s="208">
        <v>2</v>
      </c>
      <c r="O11" s="208">
        <v>1302.02</v>
      </c>
    </row>
    <row r="12" spans="1:15" s="24" customFormat="1">
      <c r="A12" s="207">
        <v>44105</v>
      </c>
      <c r="B12" s="208">
        <f t="shared" si="1"/>
        <v>17</v>
      </c>
      <c r="C12" s="208">
        <f>E12+I12+M12+O12+G12+K12</f>
        <v>6440.61</v>
      </c>
      <c r="D12" s="208">
        <v>4</v>
      </c>
      <c r="E12" s="208">
        <v>18.079999999999998</v>
      </c>
      <c r="F12" s="208">
        <v>1</v>
      </c>
      <c r="G12" s="208">
        <v>8.09</v>
      </c>
      <c r="H12" s="208">
        <v>4</v>
      </c>
      <c r="I12" s="208">
        <v>60.97</v>
      </c>
      <c r="J12" s="208">
        <v>1</v>
      </c>
      <c r="K12" s="208">
        <v>61.2</v>
      </c>
      <c r="L12" s="208">
        <v>4</v>
      </c>
      <c r="M12" s="208">
        <v>1290.27</v>
      </c>
      <c r="N12" s="208">
        <v>3</v>
      </c>
      <c r="O12" s="208">
        <v>5002</v>
      </c>
    </row>
    <row r="13" spans="1:15" s="24" customFormat="1">
      <c r="A13" s="207">
        <v>44136</v>
      </c>
      <c r="B13" s="208">
        <f t="shared" ref="B13" si="2">D13+H13+L13+N13+F13+J13</f>
        <v>4</v>
      </c>
      <c r="C13" s="208">
        <f>E13+I13+M13+O13+G13+K13</f>
        <v>7070.04</v>
      </c>
      <c r="D13" s="208">
        <v>1</v>
      </c>
      <c r="E13" s="208">
        <v>1.59</v>
      </c>
      <c r="F13" s="208">
        <v>0</v>
      </c>
      <c r="G13" s="208">
        <v>0</v>
      </c>
      <c r="H13" s="208">
        <v>0</v>
      </c>
      <c r="I13" s="208">
        <v>0</v>
      </c>
      <c r="J13" s="208">
        <v>1</v>
      </c>
      <c r="K13" s="208">
        <v>71.3</v>
      </c>
      <c r="L13" s="208">
        <v>0</v>
      </c>
      <c r="M13" s="208">
        <v>0</v>
      </c>
      <c r="N13" s="208">
        <v>2</v>
      </c>
      <c r="O13" s="208">
        <v>6997.15</v>
      </c>
    </row>
    <row r="14" spans="1:15" s="24" customFormat="1">
      <c r="A14" s="207">
        <v>44166</v>
      </c>
      <c r="B14" s="208">
        <f t="shared" ref="B14" si="3">D14+H14+L14+N14+F14+J14</f>
        <v>4</v>
      </c>
      <c r="C14" s="208">
        <f>E14+I14+M14+O14+G14+K14</f>
        <v>1652.4</v>
      </c>
      <c r="D14" s="208">
        <v>1</v>
      </c>
      <c r="E14" s="208">
        <v>2.7</v>
      </c>
      <c r="F14" s="208">
        <v>0</v>
      </c>
      <c r="G14" s="208">
        <v>0</v>
      </c>
      <c r="H14" s="208">
        <v>0</v>
      </c>
      <c r="I14" s="208">
        <v>0</v>
      </c>
      <c r="J14" s="208">
        <v>0</v>
      </c>
      <c r="K14" s="208">
        <v>0</v>
      </c>
      <c r="L14" s="208">
        <v>1</v>
      </c>
      <c r="M14" s="208">
        <v>299.16000000000003</v>
      </c>
      <c r="N14" s="208">
        <v>2</v>
      </c>
      <c r="O14" s="208">
        <v>1350.54</v>
      </c>
    </row>
    <row r="15" spans="1:15" s="24" customFormat="1">
      <c r="A15" s="207">
        <v>44227</v>
      </c>
      <c r="B15" s="208">
        <f t="shared" ref="B15" si="4">D15+H15+L15+N15+F15+J15</f>
        <v>3</v>
      </c>
      <c r="C15" s="208">
        <f>E15+I15+M15+O15+G15+K15</f>
        <v>5014.62</v>
      </c>
      <c r="D15" s="208">
        <v>0</v>
      </c>
      <c r="E15" s="208">
        <v>0</v>
      </c>
      <c r="F15" s="208">
        <v>0</v>
      </c>
      <c r="G15" s="208">
        <v>0</v>
      </c>
      <c r="H15" s="208">
        <v>0</v>
      </c>
      <c r="I15" s="208">
        <v>0</v>
      </c>
      <c r="J15" s="208">
        <v>1</v>
      </c>
      <c r="K15" s="208">
        <v>81.25</v>
      </c>
      <c r="L15" s="208">
        <v>1</v>
      </c>
      <c r="M15" s="208">
        <v>299.99</v>
      </c>
      <c r="N15" s="208">
        <v>1</v>
      </c>
      <c r="O15" s="208">
        <v>4633.38</v>
      </c>
    </row>
    <row r="16" spans="1:15" s="24" customFormat="1">
      <c r="A16" s="207">
        <v>44228</v>
      </c>
      <c r="B16" s="208">
        <f t="shared" ref="B16" si="5">D16+H16+L16+N16+F16+J16</f>
        <v>7</v>
      </c>
      <c r="C16" s="208">
        <f>E16+I16+M16+O16+G16+K16</f>
        <v>6656.5599999999995</v>
      </c>
      <c r="D16" s="208">
        <v>1</v>
      </c>
      <c r="E16" s="208">
        <v>3.24</v>
      </c>
      <c r="F16" s="208">
        <v>0</v>
      </c>
      <c r="G16" s="208">
        <v>0</v>
      </c>
      <c r="H16" s="208">
        <v>0</v>
      </c>
      <c r="I16" s="208">
        <v>0</v>
      </c>
      <c r="J16" s="208">
        <v>1</v>
      </c>
      <c r="K16" s="208">
        <v>100</v>
      </c>
      <c r="L16" s="208">
        <v>1</v>
      </c>
      <c r="M16" s="208">
        <v>412.63</v>
      </c>
      <c r="N16" s="208">
        <v>4</v>
      </c>
      <c r="O16" s="208">
        <v>6140.69</v>
      </c>
    </row>
    <row r="17" spans="1:15" s="24" customFormat="1" ht="28.5" customHeight="1">
      <c r="A17" s="1234" t="s">
        <v>391</v>
      </c>
      <c r="B17" s="1234"/>
      <c r="C17" s="1234"/>
      <c r="D17" s="1234"/>
      <c r="E17" s="1234"/>
      <c r="F17" s="1234"/>
      <c r="G17" s="1234"/>
      <c r="H17" s="1234"/>
      <c r="I17" s="1234"/>
      <c r="J17" s="1234"/>
      <c r="K17" s="1234"/>
      <c r="L17" s="1234"/>
      <c r="M17" s="1234"/>
      <c r="N17" s="1234"/>
      <c r="O17" s="1234"/>
    </row>
    <row r="18" spans="1:15" s="24" customFormat="1">
      <c r="A18" s="27" t="s">
        <v>1173</v>
      </c>
      <c r="B18" s="27"/>
      <c r="C18" s="27"/>
    </row>
    <row r="19" spans="1:15" s="24" customFormat="1">
      <c r="A19" s="1235" t="s">
        <v>43</v>
      </c>
      <c r="B19" s="1235"/>
      <c r="C19" s="1235"/>
    </row>
    <row r="20" spans="1:15">
      <c r="A20" s="24"/>
      <c r="B20" s="24"/>
      <c r="C20" s="24"/>
    </row>
  </sheetData>
  <mergeCells count="11">
    <mergeCell ref="A17:O17"/>
    <mergeCell ref="A19:C19"/>
    <mergeCell ref="A1:N1"/>
    <mergeCell ref="A2:A3"/>
    <mergeCell ref="B2:C2"/>
    <mergeCell ref="D2:E2"/>
    <mergeCell ref="F2:G2"/>
    <mergeCell ref="H2:I2"/>
    <mergeCell ref="J2:K2"/>
    <mergeCell ref="L2:M2"/>
    <mergeCell ref="N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23"/>
  <sheetViews>
    <sheetView workbookViewId="0">
      <selection activeCell="J6" sqref="J6"/>
    </sheetView>
  </sheetViews>
  <sheetFormatPr defaultColWidth="8.85546875" defaultRowHeight="15"/>
  <cols>
    <col min="1" max="1" width="14.7109375" style="21" bestFit="1" customWidth="1"/>
    <col min="2" max="7" width="10.42578125" style="21" customWidth="1"/>
    <col min="8" max="9" width="12.140625" style="21" bestFit="1" customWidth="1"/>
    <col min="10" max="11" width="15.7109375" style="21" bestFit="1" customWidth="1"/>
    <col min="12" max="12" width="4.7109375" style="21" bestFit="1" customWidth="1"/>
    <col min="13" max="16384" width="8.85546875" style="21"/>
  </cols>
  <sheetData>
    <row r="1" spans="1:11">
      <c r="A1" s="1223" t="s">
        <v>2</v>
      </c>
      <c r="B1" s="1223"/>
      <c r="C1" s="1223"/>
      <c r="D1" s="1223"/>
      <c r="E1" s="1223"/>
      <c r="F1" s="1223"/>
      <c r="G1" s="1223"/>
      <c r="H1" s="1223"/>
      <c r="I1" s="1223"/>
    </row>
    <row r="2" spans="1:11" s="22" customFormat="1">
      <c r="A2" s="1244" t="s">
        <v>51</v>
      </c>
      <c r="B2" s="1246" t="s">
        <v>417</v>
      </c>
      <c r="C2" s="1247"/>
      <c r="D2" s="1246" t="s">
        <v>418</v>
      </c>
      <c r="E2" s="1247"/>
      <c r="F2" s="1246" t="s">
        <v>419</v>
      </c>
      <c r="G2" s="1247"/>
      <c r="H2" s="1246" t="s">
        <v>420</v>
      </c>
      <c r="I2" s="1247"/>
      <c r="J2" s="1231" t="s">
        <v>53</v>
      </c>
      <c r="K2" s="1233"/>
    </row>
    <row r="3" spans="1:11" s="22" customFormat="1" ht="30">
      <c r="A3" s="1245"/>
      <c r="B3" s="95" t="s">
        <v>69</v>
      </c>
      <c r="C3" s="96" t="s">
        <v>281</v>
      </c>
      <c r="D3" s="95" t="s">
        <v>69</v>
      </c>
      <c r="E3" s="96" t="s">
        <v>285</v>
      </c>
      <c r="F3" s="96" t="s">
        <v>69</v>
      </c>
      <c r="G3" s="96" t="s">
        <v>285</v>
      </c>
      <c r="H3" s="95" t="s">
        <v>69</v>
      </c>
      <c r="I3" s="96" t="s">
        <v>281</v>
      </c>
      <c r="J3" s="95" t="s">
        <v>69</v>
      </c>
      <c r="K3" s="96" t="s">
        <v>281</v>
      </c>
    </row>
    <row r="4" spans="1:11" s="23" customFormat="1" ht="17.25" customHeight="1">
      <c r="A4" s="97" t="s">
        <v>58</v>
      </c>
      <c r="B4" s="98">
        <v>0</v>
      </c>
      <c r="C4" s="91">
        <v>0</v>
      </c>
      <c r="D4" s="98">
        <v>0</v>
      </c>
      <c r="E4" s="91">
        <v>0</v>
      </c>
      <c r="F4" s="92">
        <v>0</v>
      </c>
      <c r="G4" s="92">
        <v>0</v>
      </c>
      <c r="H4" s="98">
        <v>14</v>
      </c>
      <c r="I4" s="91">
        <v>54388.924919999998</v>
      </c>
      <c r="J4" s="92">
        <v>14</v>
      </c>
      <c r="K4" s="91">
        <v>54388.924919999998</v>
      </c>
    </row>
    <row r="5" spans="1:11" s="23" customFormat="1" ht="17.25" customHeight="1">
      <c r="A5" s="224" t="s">
        <v>61</v>
      </c>
      <c r="B5" s="225">
        <f>SUM(B6:B15)</f>
        <v>0</v>
      </c>
      <c r="C5" s="225">
        <f t="shared" ref="C5:G5" si="0">SUM(C6:C15)</f>
        <v>0</v>
      </c>
      <c r="D5" s="225">
        <f t="shared" si="0"/>
        <v>0</v>
      </c>
      <c r="E5" s="225">
        <f t="shared" si="0"/>
        <v>0</v>
      </c>
      <c r="F5" s="225">
        <f t="shared" si="0"/>
        <v>0</v>
      </c>
      <c r="G5" s="225">
        <f t="shared" si="0"/>
        <v>0</v>
      </c>
      <c r="H5" s="225">
        <f>SUM(H6:H16)</f>
        <v>26</v>
      </c>
      <c r="I5" s="225">
        <f>SUM(I6:I16)</f>
        <v>67963.657383270009</v>
      </c>
      <c r="J5" s="225">
        <f>SUM(J6:J16)</f>
        <v>26</v>
      </c>
      <c r="K5" s="225">
        <f>SUM(K6:K16)</f>
        <v>67963.657383270009</v>
      </c>
    </row>
    <row r="6" spans="1:11" s="22" customFormat="1" ht="17.25" customHeight="1">
      <c r="A6" s="226" t="s">
        <v>60</v>
      </c>
      <c r="B6" s="227">
        <v>0</v>
      </c>
      <c r="C6" s="208">
        <v>0</v>
      </c>
      <c r="D6" s="227">
        <v>0</v>
      </c>
      <c r="E6" s="208">
        <v>0</v>
      </c>
      <c r="F6" s="209">
        <v>0</v>
      </c>
      <c r="G6" s="209">
        <v>0</v>
      </c>
      <c r="H6" s="227">
        <v>0</v>
      </c>
      <c r="I6" s="208">
        <v>0</v>
      </c>
      <c r="J6" s="209">
        <v>0</v>
      </c>
      <c r="K6" s="208">
        <v>0</v>
      </c>
    </row>
    <row r="7" spans="1:11" s="22" customFormat="1" ht="17.25" customHeight="1">
      <c r="A7" s="226" t="s">
        <v>59</v>
      </c>
      <c r="B7" s="227">
        <v>0</v>
      </c>
      <c r="C7" s="208">
        <v>0</v>
      </c>
      <c r="D7" s="227">
        <v>0</v>
      </c>
      <c r="E7" s="208">
        <v>0</v>
      </c>
      <c r="F7" s="209">
        <v>0</v>
      </c>
      <c r="G7" s="209">
        <v>0</v>
      </c>
      <c r="H7" s="227">
        <v>0</v>
      </c>
      <c r="I7" s="208">
        <v>0</v>
      </c>
      <c r="J7" s="209">
        <v>0</v>
      </c>
      <c r="K7" s="208">
        <v>0</v>
      </c>
    </row>
    <row r="8" spans="1:11" s="22" customFormat="1" ht="17.25" customHeight="1">
      <c r="A8" s="226" t="s">
        <v>310</v>
      </c>
      <c r="B8" s="227">
        <v>0</v>
      </c>
      <c r="C8" s="208">
        <v>0</v>
      </c>
      <c r="D8" s="227">
        <v>0</v>
      </c>
      <c r="E8" s="208">
        <v>0</v>
      </c>
      <c r="F8" s="209">
        <v>0</v>
      </c>
      <c r="G8" s="209">
        <v>0</v>
      </c>
      <c r="H8" s="227">
        <v>2</v>
      </c>
      <c r="I8" s="208">
        <v>8212.5</v>
      </c>
      <c r="J8" s="209">
        <v>2</v>
      </c>
      <c r="K8" s="208">
        <v>8212.5</v>
      </c>
    </row>
    <row r="9" spans="1:11" s="22" customFormat="1" ht="17.25" customHeight="1">
      <c r="A9" s="226" t="s">
        <v>356</v>
      </c>
      <c r="B9" s="227">
        <v>0</v>
      </c>
      <c r="C9" s="208">
        <v>0</v>
      </c>
      <c r="D9" s="227">
        <v>0</v>
      </c>
      <c r="E9" s="208">
        <v>0</v>
      </c>
      <c r="F9" s="209">
        <v>0</v>
      </c>
      <c r="G9" s="209">
        <v>0</v>
      </c>
      <c r="H9" s="227">
        <v>1</v>
      </c>
      <c r="I9" s="208">
        <v>2000</v>
      </c>
      <c r="J9" s="209">
        <v>1</v>
      </c>
      <c r="K9" s="208">
        <v>2000</v>
      </c>
    </row>
    <row r="10" spans="1:11" s="22" customFormat="1" ht="17.25" customHeight="1">
      <c r="A10" s="207" t="s">
        <v>383</v>
      </c>
      <c r="B10" s="227">
        <v>0</v>
      </c>
      <c r="C10" s="208">
        <v>0</v>
      </c>
      <c r="D10" s="227">
        <v>0</v>
      </c>
      <c r="E10" s="208">
        <v>0</v>
      </c>
      <c r="F10" s="209">
        <v>0</v>
      </c>
      <c r="G10" s="209">
        <v>0</v>
      </c>
      <c r="H10" s="227">
        <v>7</v>
      </c>
      <c r="I10" s="208">
        <v>42724.94</v>
      </c>
      <c r="J10" s="209">
        <v>7</v>
      </c>
      <c r="K10" s="208">
        <v>42724.94</v>
      </c>
    </row>
    <row r="11" spans="1:11" s="22" customFormat="1" ht="17.25" customHeight="1">
      <c r="A11" s="207">
        <v>44075</v>
      </c>
      <c r="B11" s="227">
        <v>0</v>
      </c>
      <c r="C11" s="208">
        <v>0</v>
      </c>
      <c r="D11" s="227">
        <v>0</v>
      </c>
      <c r="E11" s="208">
        <v>0</v>
      </c>
      <c r="F11" s="209">
        <v>0</v>
      </c>
      <c r="G11" s="209">
        <v>0</v>
      </c>
      <c r="H11" s="227">
        <v>3</v>
      </c>
      <c r="I11" s="208">
        <v>1337.87</v>
      </c>
      <c r="J11" s="209">
        <v>3</v>
      </c>
      <c r="K11" s="208">
        <v>1337.87</v>
      </c>
    </row>
    <row r="12" spans="1:11" s="22" customFormat="1" ht="17.25" customHeight="1">
      <c r="A12" s="207">
        <v>44105</v>
      </c>
      <c r="B12" s="227">
        <v>0</v>
      </c>
      <c r="C12" s="208">
        <v>0</v>
      </c>
      <c r="D12" s="227">
        <v>0</v>
      </c>
      <c r="E12" s="208">
        <v>0</v>
      </c>
      <c r="F12" s="209">
        <v>0</v>
      </c>
      <c r="G12" s="209">
        <v>0</v>
      </c>
      <c r="H12" s="227">
        <v>3</v>
      </c>
      <c r="I12" s="208">
        <v>2199.9699999999998</v>
      </c>
      <c r="J12" s="209">
        <v>3</v>
      </c>
      <c r="K12" s="208">
        <v>2199.9699999999998</v>
      </c>
    </row>
    <row r="13" spans="1:11" s="22" customFormat="1" ht="17.25" customHeight="1">
      <c r="A13" s="207">
        <v>44136</v>
      </c>
      <c r="B13" s="227">
        <v>0</v>
      </c>
      <c r="C13" s="208">
        <v>0</v>
      </c>
      <c r="D13" s="227">
        <v>0</v>
      </c>
      <c r="E13" s="208">
        <v>0</v>
      </c>
      <c r="F13" s="209">
        <v>0</v>
      </c>
      <c r="G13" s="209">
        <v>0</v>
      </c>
      <c r="H13" s="227">
        <v>1</v>
      </c>
      <c r="I13" s="208">
        <v>249.99</v>
      </c>
      <c r="J13" s="209">
        <v>1</v>
      </c>
      <c r="K13" s="208">
        <v>249.99</v>
      </c>
    </row>
    <row r="14" spans="1:11" s="22" customFormat="1" ht="17.25" customHeight="1">
      <c r="A14" s="207">
        <v>44166</v>
      </c>
      <c r="B14" s="227">
        <v>0</v>
      </c>
      <c r="C14" s="208">
        <v>0</v>
      </c>
      <c r="D14" s="227">
        <v>0</v>
      </c>
      <c r="E14" s="208">
        <v>0</v>
      </c>
      <c r="F14" s="209">
        <v>0</v>
      </c>
      <c r="G14" s="209">
        <v>0</v>
      </c>
      <c r="H14" s="227">
        <v>4</v>
      </c>
      <c r="I14" s="208">
        <v>7423.21738327</v>
      </c>
      <c r="J14" s="227">
        <f>B14+D14+F14+H14</f>
        <v>4</v>
      </c>
      <c r="K14" s="227">
        <f>C14+E14+G14+I14</f>
        <v>7423.21738327</v>
      </c>
    </row>
    <row r="15" spans="1:11" s="22" customFormat="1" ht="17.25" customHeight="1">
      <c r="A15" s="207">
        <v>44227</v>
      </c>
      <c r="B15" s="227">
        <v>0</v>
      </c>
      <c r="C15" s="208">
        <v>0</v>
      </c>
      <c r="D15" s="227">
        <v>0</v>
      </c>
      <c r="E15" s="208">
        <v>0</v>
      </c>
      <c r="F15" s="209">
        <v>0</v>
      </c>
      <c r="G15" s="209">
        <v>0</v>
      </c>
      <c r="H15" s="227">
        <v>1</v>
      </c>
      <c r="I15" s="208">
        <v>1170</v>
      </c>
      <c r="J15" s="227">
        <v>1</v>
      </c>
      <c r="K15" s="227">
        <v>1170</v>
      </c>
    </row>
    <row r="16" spans="1:11" s="22" customFormat="1" ht="17.25" customHeight="1">
      <c r="A16" s="207">
        <v>44228</v>
      </c>
      <c r="B16" s="227">
        <v>0</v>
      </c>
      <c r="C16" s="208">
        <v>0</v>
      </c>
      <c r="D16" s="227">
        <v>0</v>
      </c>
      <c r="E16" s="208">
        <v>0</v>
      </c>
      <c r="F16" s="209">
        <v>0</v>
      </c>
      <c r="G16" s="209">
        <v>0</v>
      </c>
      <c r="H16" s="227">
        <v>4</v>
      </c>
      <c r="I16" s="208">
        <v>2645.17</v>
      </c>
      <c r="J16" s="227">
        <v>4</v>
      </c>
      <c r="K16" s="227">
        <v>2645.17</v>
      </c>
    </row>
    <row r="17" spans="1:11" s="22" customFormat="1">
      <c r="A17" s="29" t="s">
        <v>354</v>
      </c>
      <c r="B17" s="36"/>
      <c r="C17" s="34"/>
      <c r="D17" s="36"/>
      <c r="E17" s="34"/>
      <c r="F17" s="38"/>
      <c r="G17" s="38"/>
      <c r="H17" s="36"/>
      <c r="I17" s="34"/>
      <c r="J17" s="38"/>
      <c r="K17" s="34"/>
    </row>
    <row r="18" spans="1:11" s="22" customFormat="1">
      <c r="A18" s="1215" t="s">
        <v>1175</v>
      </c>
      <c r="B18" s="1215"/>
      <c r="C18" s="1215"/>
      <c r="D18" s="1215"/>
      <c r="E18" s="1215"/>
      <c r="F18" s="1215"/>
      <c r="G18" s="1215"/>
      <c r="H18" s="1215"/>
      <c r="I18" s="1215"/>
    </row>
    <row r="19" spans="1:11" s="22" customFormat="1">
      <c r="A19" s="1243" t="s">
        <v>444</v>
      </c>
      <c r="B19" s="1243"/>
      <c r="C19" s="1243"/>
      <c r="D19" s="1243"/>
      <c r="E19" s="1243"/>
      <c r="F19" s="1243"/>
      <c r="G19" s="1243"/>
      <c r="H19" s="1243"/>
      <c r="I19" s="1243"/>
    </row>
    <row r="20" spans="1:11" s="22" customFormat="1">
      <c r="A20" s="40" t="s">
        <v>459</v>
      </c>
      <c r="B20" s="192"/>
      <c r="C20" s="192"/>
      <c r="D20" s="192"/>
      <c r="E20" s="192"/>
      <c r="F20" s="192"/>
      <c r="G20" s="192"/>
      <c r="H20" s="192"/>
      <c r="I20" s="192"/>
    </row>
    <row r="21" spans="1:11" s="22" customFormat="1">
      <c r="A21" s="40" t="s">
        <v>424</v>
      </c>
      <c r="B21" s="192"/>
      <c r="C21" s="192"/>
      <c r="D21" s="192"/>
      <c r="E21" s="192"/>
      <c r="F21" s="192"/>
      <c r="G21" s="192"/>
      <c r="H21" s="192"/>
      <c r="I21" s="192"/>
    </row>
    <row r="22" spans="1:11" s="22" customFormat="1">
      <c r="A22" s="1215" t="s">
        <v>82</v>
      </c>
      <c r="B22" s="1215"/>
      <c r="C22" s="1215"/>
      <c r="D22" s="1215"/>
      <c r="E22" s="1215"/>
      <c r="F22" s="1215"/>
      <c r="G22" s="1215"/>
      <c r="H22" s="1215"/>
      <c r="I22" s="1215"/>
    </row>
    <row r="23" spans="1:11" s="22" customFormat="1"/>
  </sheetData>
  <mergeCells count="10">
    <mergeCell ref="J2:K2"/>
    <mergeCell ref="A18:I18"/>
    <mergeCell ref="A19:I19"/>
    <mergeCell ref="A22:I22"/>
    <mergeCell ref="A1:I1"/>
    <mergeCell ref="A2:A3"/>
    <mergeCell ref="B2:C2"/>
    <mergeCell ref="D2:E2"/>
    <mergeCell ref="F2:G2"/>
    <mergeCell ref="H2:I2"/>
  </mergeCells>
  <hyperlinks>
    <hyperlink ref="F2" r:id="rId1" display="MSEI@"/>
    <hyperlink ref="A20" r:id="rId2" display=".@ The issues are exclusively listed on respective exchanges."/>
  </hyperlinks>
  <pageMargins left="0.78431372549019618" right="0.78431372549019618" top="0.98039215686274517" bottom="0.98039215686274517" header="0.50980392156862753" footer="0.50980392156862753"/>
  <pageSetup paperSize="9" orientation="landscape" useFirstPageNumber="1"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22"/>
  <sheetViews>
    <sheetView workbookViewId="0">
      <selection activeCell="J7" sqref="J7"/>
    </sheetView>
  </sheetViews>
  <sheetFormatPr defaultColWidth="8.85546875" defaultRowHeight="15"/>
  <cols>
    <col min="1" max="1" width="24.7109375" style="1" customWidth="1"/>
    <col min="2" max="11" width="11.140625" style="1" customWidth="1"/>
    <col min="12" max="12" width="4.7109375" style="1" bestFit="1" customWidth="1"/>
    <col min="13" max="16384" width="8.85546875" style="1"/>
  </cols>
  <sheetData>
    <row r="1" spans="1:11">
      <c r="A1" s="1249" t="s">
        <v>315</v>
      </c>
      <c r="B1" s="1249"/>
      <c r="C1" s="1249"/>
      <c r="D1" s="1249"/>
      <c r="E1" s="1249"/>
      <c r="F1" s="1249"/>
      <c r="G1" s="1249"/>
      <c r="H1" s="1249"/>
      <c r="I1" s="1249"/>
    </row>
    <row r="2" spans="1:11">
      <c r="A2" s="2"/>
      <c r="B2" s="1246" t="s">
        <v>417</v>
      </c>
      <c r="C2" s="1247"/>
      <c r="D2" s="1246" t="s">
        <v>418</v>
      </c>
      <c r="E2" s="1247"/>
      <c r="F2" s="1246" t="s">
        <v>419</v>
      </c>
      <c r="G2" s="1247"/>
      <c r="H2" s="1246" t="s">
        <v>420</v>
      </c>
      <c r="I2" s="1247"/>
      <c r="J2" s="1246" t="s">
        <v>53</v>
      </c>
      <c r="K2" s="1247"/>
    </row>
    <row r="3" spans="1:11" ht="30">
      <c r="A3" s="2" t="s">
        <v>70</v>
      </c>
      <c r="B3" s="3" t="s">
        <v>421</v>
      </c>
      <c r="C3" s="2" t="s">
        <v>285</v>
      </c>
      <c r="D3" s="3" t="s">
        <v>421</v>
      </c>
      <c r="E3" s="2" t="s">
        <v>285</v>
      </c>
      <c r="F3" s="3" t="s">
        <v>421</v>
      </c>
      <c r="G3" s="2" t="s">
        <v>285</v>
      </c>
      <c r="H3" s="3" t="s">
        <v>421</v>
      </c>
      <c r="I3" s="2" t="s">
        <v>285</v>
      </c>
      <c r="J3" s="3" t="s">
        <v>421</v>
      </c>
      <c r="K3" s="2" t="s">
        <v>285</v>
      </c>
    </row>
    <row r="4" spans="1:11">
      <c r="A4" s="4">
        <v>1</v>
      </c>
      <c r="B4" s="4">
        <v>2</v>
      </c>
      <c r="C4" s="4">
        <v>3</v>
      </c>
      <c r="D4" s="4">
        <v>4</v>
      </c>
      <c r="E4" s="4">
        <v>5</v>
      </c>
      <c r="F4" s="4">
        <v>6</v>
      </c>
      <c r="G4" s="4">
        <v>7</v>
      </c>
      <c r="H4" s="5">
        <v>8</v>
      </c>
      <c r="I4" s="4">
        <v>9</v>
      </c>
      <c r="J4" s="4">
        <v>10</v>
      </c>
      <c r="K4" s="4">
        <v>11</v>
      </c>
    </row>
    <row r="5" spans="1:11">
      <c r="A5" s="6" t="s">
        <v>58</v>
      </c>
      <c r="B5" s="7">
        <v>128</v>
      </c>
      <c r="C5" s="8">
        <v>1839.73</v>
      </c>
      <c r="D5" s="7">
        <v>14</v>
      </c>
      <c r="E5" s="9">
        <v>76.11</v>
      </c>
      <c r="F5" s="7">
        <v>4</v>
      </c>
      <c r="G5" s="8">
        <v>11.26</v>
      </c>
      <c r="H5" s="7">
        <v>138</v>
      </c>
      <c r="I5" s="10">
        <v>172959.34999999998</v>
      </c>
      <c r="J5" s="7">
        <v>284</v>
      </c>
      <c r="K5" s="10">
        <v>174886.46</v>
      </c>
    </row>
    <row r="6" spans="1:11">
      <c r="A6" s="228" t="s">
        <v>61</v>
      </c>
      <c r="B6" s="229">
        <f>SUM(B7:B17)</f>
        <v>89</v>
      </c>
      <c r="C6" s="229">
        <f t="shared" ref="C6:K6" si="0">SUM(C7:C17)</f>
        <v>929.7</v>
      </c>
      <c r="D6" s="229">
        <f t="shared" si="0"/>
        <v>10</v>
      </c>
      <c r="E6" s="229">
        <f t="shared" si="0"/>
        <v>56.88</v>
      </c>
      <c r="F6" s="229">
        <f t="shared" si="0"/>
        <v>5</v>
      </c>
      <c r="G6" s="229">
        <f t="shared" si="0"/>
        <v>16.05</v>
      </c>
      <c r="H6" s="229">
        <f t="shared" si="0"/>
        <v>97</v>
      </c>
      <c r="I6" s="229">
        <f t="shared" si="0"/>
        <v>37028.729999999996</v>
      </c>
      <c r="J6" s="229">
        <f>SUM(J7:J17)</f>
        <v>201</v>
      </c>
      <c r="K6" s="229">
        <f t="shared" si="0"/>
        <v>38031.55999999999</v>
      </c>
    </row>
    <row r="7" spans="1:11">
      <c r="A7" s="11" t="s">
        <v>60</v>
      </c>
      <c r="B7" s="14">
        <v>15</v>
      </c>
      <c r="C7" s="203">
        <v>119.5</v>
      </c>
      <c r="D7" s="14">
        <v>0</v>
      </c>
      <c r="E7" s="230">
        <v>0</v>
      </c>
      <c r="F7" s="14">
        <v>0</v>
      </c>
      <c r="G7" s="202">
        <v>0</v>
      </c>
      <c r="H7" s="14">
        <v>7</v>
      </c>
      <c r="I7" s="230">
        <v>986.9</v>
      </c>
      <c r="J7" s="14">
        <v>22</v>
      </c>
      <c r="K7" s="203">
        <v>1106.4000000000001</v>
      </c>
    </row>
    <row r="8" spans="1:11">
      <c r="A8" s="11" t="s">
        <v>59</v>
      </c>
      <c r="B8" s="14">
        <v>4</v>
      </c>
      <c r="C8" s="203">
        <v>11.1</v>
      </c>
      <c r="D8" s="14">
        <v>0</v>
      </c>
      <c r="E8" s="230">
        <v>0</v>
      </c>
      <c r="F8" s="14">
        <v>0</v>
      </c>
      <c r="G8" s="202">
        <v>0</v>
      </c>
      <c r="H8" s="14">
        <v>7</v>
      </c>
      <c r="I8" s="230">
        <v>295.89999999999998</v>
      </c>
      <c r="J8" s="14">
        <v>11</v>
      </c>
      <c r="K8" s="203">
        <v>307</v>
      </c>
    </row>
    <row r="9" spans="1:11">
      <c r="A9" s="11" t="s">
        <v>310</v>
      </c>
      <c r="B9" s="14">
        <v>10</v>
      </c>
      <c r="C9" s="203">
        <v>65</v>
      </c>
      <c r="D9" s="14">
        <v>0</v>
      </c>
      <c r="E9" s="230">
        <v>0</v>
      </c>
      <c r="F9" s="14">
        <v>0</v>
      </c>
      <c r="G9" s="202">
        <v>0</v>
      </c>
      <c r="H9" s="14">
        <v>8</v>
      </c>
      <c r="I9" s="230">
        <v>3967.7</v>
      </c>
      <c r="J9" s="14">
        <v>18</v>
      </c>
      <c r="K9" s="203">
        <v>4032.7</v>
      </c>
    </row>
    <row r="10" spans="1:11">
      <c r="A10" s="11" t="s">
        <v>356</v>
      </c>
      <c r="B10" s="14">
        <v>9</v>
      </c>
      <c r="C10" s="203">
        <v>83.6</v>
      </c>
      <c r="D10" s="14">
        <v>0</v>
      </c>
      <c r="E10" s="230">
        <v>0</v>
      </c>
      <c r="F10" s="14">
        <v>0</v>
      </c>
      <c r="G10" s="202">
        <v>0</v>
      </c>
      <c r="H10" s="14">
        <v>9</v>
      </c>
      <c r="I10" s="230">
        <v>798.9</v>
      </c>
      <c r="J10" s="14">
        <v>18</v>
      </c>
      <c r="K10" s="203">
        <v>882.5</v>
      </c>
    </row>
    <row r="11" spans="1:11">
      <c r="A11" s="11" t="s">
        <v>384</v>
      </c>
      <c r="B11" s="14">
        <v>11</v>
      </c>
      <c r="C11" s="203">
        <v>110</v>
      </c>
      <c r="D11" s="14">
        <v>2</v>
      </c>
      <c r="E11" s="230">
        <v>9</v>
      </c>
      <c r="F11" s="14">
        <v>0</v>
      </c>
      <c r="G11" s="202">
        <v>0</v>
      </c>
      <c r="H11" s="14">
        <v>5</v>
      </c>
      <c r="I11" s="230">
        <v>2617.6</v>
      </c>
      <c r="J11" s="14">
        <v>18</v>
      </c>
      <c r="K11" s="203">
        <v>2736.7</v>
      </c>
    </row>
    <row r="12" spans="1:11">
      <c r="A12" s="11">
        <v>44075</v>
      </c>
      <c r="B12" s="14">
        <v>8</v>
      </c>
      <c r="C12" s="203">
        <v>52.4</v>
      </c>
      <c r="D12" s="14">
        <v>2</v>
      </c>
      <c r="E12" s="230">
        <v>10.5</v>
      </c>
      <c r="F12" s="14">
        <v>0</v>
      </c>
      <c r="G12" s="202">
        <v>0</v>
      </c>
      <c r="H12" s="14">
        <v>10</v>
      </c>
      <c r="I12" s="230">
        <v>7612.1</v>
      </c>
      <c r="J12" s="14">
        <v>20</v>
      </c>
      <c r="K12" s="203">
        <v>7675</v>
      </c>
    </row>
    <row r="13" spans="1:11">
      <c r="A13" s="11">
        <v>44105</v>
      </c>
      <c r="B13" s="14">
        <v>5</v>
      </c>
      <c r="C13" s="203">
        <v>63.1</v>
      </c>
      <c r="D13" s="14">
        <v>2</v>
      </c>
      <c r="E13" s="230">
        <v>30.1</v>
      </c>
      <c r="F13" s="231">
        <v>3</v>
      </c>
      <c r="G13" s="202">
        <v>7.8</v>
      </c>
      <c r="H13" s="14">
        <v>15</v>
      </c>
      <c r="I13" s="203">
        <v>1851.3</v>
      </c>
      <c r="J13" s="14">
        <v>25</v>
      </c>
      <c r="K13" s="203">
        <v>1952.3</v>
      </c>
    </row>
    <row r="14" spans="1:11">
      <c r="A14" s="11">
        <v>44136</v>
      </c>
      <c r="B14" s="12">
        <v>6</v>
      </c>
      <c r="C14" s="13">
        <v>149.5</v>
      </c>
      <c r="D14" s="13">
        <v>1</v>
      </c>
      <c r="E14" s="13">
        <v>1.2</v>
      </c>
      <c r="F14" s="14">
        <v>0</v>
      </c>
      <c r="G14" s="202">
        <v>0</v>
      </c>
      <c r="H14" s="13">
        <v>6</v>
      </c>
      <c r="I14" s="203">
        <v>6858.1</v>
      </c>
      <c r="J14" s="14">
        <v>13</v>
      </c>
      <c r="K14" s="203">
        <v>7008.8</v>
      </c>
    </row>
    <row r="15" spans="1:11">
      <c r="A15" s="11">
        <v>44166</v>
      </c>
      <c r="B15" s="12">
        <v>8</v>
      </c>
      <c r="C15" s="13">
        <v>101.2</v>
      </c>
      <c r="D15" s="13">
        <v>2</v>
      </c>
      <c r="E15" s="13">
        <v>5.9</v>
      </c>
      <c r="F15" s="14">
        <v>1</v>
      </c>
      <c r="G15" s="202">
        <v>2.2999999999999998</v>
      </c>
      <c r="H15" s="13">
        <v>6</v>
      </c>
      <c r="I15" s="203">
        <v>1672.1</v>
      </c>
      <c r="J15" s="14">
        <v>17</v>
      </c>
      <c r="K15" s="203">
        <v>1781.6</v>
      </c>
    </row>
    <row r="16" spans="1:11">
      <c r="A16" s="11">
        <v>44197</v>
      </c>
      <c r="B16" s="12">
        <v>8</v>
      </c>
      <c r="C16" s="13">
        <v>90.9</v>
      </c>
      <c r="D16" s="13">
        <v>0</v>
      </c>
      <c r="E16" s="13">
        <v>0</v>
      </c>
      <c r="F16" s="14">
        <v>0</v>
      </c>
      <c r="G16" s="202">
        <v>0</v>
      </c>
      <c r="H16" s="13">
        <v>14</v>
      </c>
      <c r="I16" s="203">
        <v>5241.96</v>
      </c>
      <c r="J16" s="14">
        <v>22</v>
      </c>
      <c r="K16" s="203">
        <v>5332.86</v>
      </c>
    </row>
    <row r="17" spans="1:11">
      <c r="A17" s="11">
        <v>44229</v>
      </c>
      <c r="B17" s="12">
        <v>5</v>
      </c>
      <c r="C17" s="13">
        <v>83.4</v>
      </c>
      <c r="D17" s="13">
        <v>1</v>
      </c>
      <c r="E17" s="13">
        <v>0.18</v>
      </c>
      <c r="F17" s="14">
        <v>1</v>
      </c>
      <c r="G17" s="202">
        <v>5.95</v>
      </c>
      <c r="H17" s="13">
        <v>10</v>
      </c>
      <c r="I17" s="203">
        <v>5126.17</v>
      </c>
      <c r="J17" s="1144">
        <f>B17+D17+F17+H17</f>
        <v>17</v>
      </c>
      <c r="K17" s="203">
        <f>C17+E17+G17+I17</f>
        <v>5215.7</v>
      </c>
    </row>
    <row r="18" spans="1:11">
      <c r="A18" s="15" t="s">
        <v>422</v>
      </c>
      <c r="B18" s="16"/>
      <c r="C18" s="17"/>
      <c r="D18" s="16"/>
      <c r="E18" s="18"/>
      <c r="F18" s="16"/>
      <c r="G18" s="19"/>
      <c r="H18" s="16"/>
      <c r="I18" s="18"/>
      <c r="J18" s="16"/>
      <c r="K18" s="17"/>
    </row>
    <row r="19" spans="1:11">
      <c r="A19" s="40" t="s">
        <v>423</v>
      </c>
      <c r="B19" s="40"/>
      <c r="C19" s="40"/>
      <c r="D19" s="40"/>
      <c r="E19" s="20"/>
      <c r="F19" s="20"/>
      <c r="G19" s="20"/>
      <c r="H19" s="20"/>
      <c r="I19" s="20"/>
      <c r="J19" s="20"/>
      <c r="K19" s="20"/>
    </row>
    <row r="20" spans="1:11">
      <c r="A20" s="40" t="s">
        <v>424</v>
      </c>
      <c r="B20" s="40"/>
      <c r="C20" s="40"/>
      <c r="D20" s="43"/>
      <c r="E20" s="20"/>
      <c r="F20" s="20"/>
      <c r="G20" s="20"/>
      <c r="H20" s="20"/>
      <c r="I20" s="20"/>
      <c r="J20" s="20"/>
      <c r="K20" s="20"/>
    </row>
    <row r="21" spans="1:11">
      <c r="A21" s="39" t="s">
        <v>1173</v>
      </c>
      <c r="B21" s="39"/>
      <c r="C21" s="43"/>
      <c r="D21" s="43"/>
    </row>
    <row r="22" spans="1:11">
      <c r="A22" s="39" t="s">
        <v>82</v>
      </c>
      <c r="B22" s="1248"/>
      <c r="C22" s="1248"/>
      <c r="D22" s="1248"/>
    </row>
  </sheetData>
  <mergeCells count="7">
    <mergeCell ref="B22:D22"/>
    <mergeCell ref="J2:K2"/>
    <mergeCell ref="A1:I1"/>
    <mergeCell ref="B2:C2"/>
    <mergeCell ref="D2:E2"/>
    <mergeCell ref="F2:G2"/>
    <mergeCell ref="H2:I2"/>
  </mergeCells>
  <hyperlinks>
    <hyperlink ref="F2" r:id="rId1" display="MSEI@"/>
  </hyperlinks>
  <pageMargins left="0.78431372549019618" right="0.78431372549019618" top="0.98039215686274517" bottom="0.98039215686274517" header="0.50980392156862753" footer="0.50980392156862753"/>
  <pageSetup paperSize="9" orientation="landscape" useFirstPageNumber="1"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20"/>
  <sheetViews>
    <sheetView workbookViewId="0">
      <selection activeCell="H27" sqref="H27"/>
    </sheetView>
  </sheetViews>
  <sheetFormatPr defaultColWidth="8.85546875" defaultRowHeight="15"/>
  <cols>
    <col min="1" max="1" width="8.85546875" style="21" customWidth="1"/>
    <col min="2" max="9" width="12.140625" style="21" customWidth="1"/>
    <col min="10" max="10" width="4.7109375" style="21" bestFit="1" customWidth="1"/>
    <col min="11" max="16384" width="8.85546875" style="21"/>
  </cols>
  <sheetData>
    <row r="1" spans="1:14" ht="15.75" customHeight="1">
      <c r="A1" s="1250" t="s">
        <v>317</v>
      </c>
      <c r="B1" s="1250"/>
      <c r="C1" s="1250"/>
      <c r="D1" s="1250"/>
      <c r="E1" s="1250"/>
      <c r="F1" s="1250"/>
      <c r="G1" s="1250"/>
      <c r="H1" s="1250"/>
      <c r="I1" s="1250"/>
    </row>
    <row r="2" spans="1:14" s="22" customFormat="1" ht="28.5" customHeight="1">
      <c r="A2" s="1251" t="s">
        <v>83</v>
      </c>
      <c r="B2" s="1253" t="s">
        <v>378</v>
      </c>
      <c r="C2" s="1254"/>
      <c r="D2" s="1253" t="s">
        <v>379</v>
      </c>
      <c r="E2" s="1254"/>
      <c r="F2" s="1255" t="s">
        <v>380</v>
      </c>
      <c r="G2" s="1256"/>
      <c r="H2" s="1253" t="s">
        <v>84</v>
      </c>
      <c r="I2" s="1254"/>
    </row>
    <row r="3" spans="1:14" s="22" customFormat="1" ht="27" customHeight="1">
      <c r="A3" s="1252"/>
      <c r="B3" s="163" t="s">
        <v>85</v>
      </c>
      <c r="C3" s="163" t="s">
        <v>285</v>
      </c>
      <c r="D3" s="163" t="s">
        <v>85</v>
      </c>
      <c r="E3" s="163" t="s">
        <v>281</v>
      </c>
      <c r="F3" s="163" t="s">
        <v>85</v>
      </c>
      <c r="G3" s="163" t="s">
        <v>281</v>
      </c>
      <c r="H3" s="163" t="s">
        <v>85</v>
      </c>
      <c r="I3" s="163" t="s">
        <v>285</v>
      </c>
    </row>
    <row r="4" spans="1:14" s="23" customFormat="1" ht="18" customHeight="1">
      <c r="A4" s="164" t="s">
        <v>58</v>
      </c>
      <c r="B4" s="165">
        <v>363</v>
      </c>
      <c r="C4" s="166">
        <v>203066.26</v>
      </c>
      <c r="D4" s="165">
        <v>1272</v>
      </c>
      <c r="E4" s="166">
        <v>254976.4</v>
      </c>
      <c r="F4" s="165">
        <v>152</v>
      </c>
      <c r="G4" s="166">
        <v>216660.39</v>
      </c>
      <c r="H4" s="165">
        <v>1787</v>
      </c>
      <c r="I4" s="166">
        <v>674702.88</v>
      </c>
      <c r="K4" s="188"/>
      <c r="L4" s="168"/>
      <c r="M4" s="188"/>
      <c r="N4" s="189"/>
    </row>
    <row r="5" spans="1:14" s="23" customFormat="1" ht="18" customHeight="1">
      <c r="A5" s="224" t="s">
        <v>61</v>
      </c>
      <c r="B5" s="222">
        <f>SUM(B6:B16)</f>
        <v>361</v>
      </c>
      <c r="C5" s="222">
        <f t="shared" ref="C5:I5" si="0">SUM(C6:C16)</f>
        <v>188692.34080000001</v>
      </c>
      <c r="D5" s="222">
        <f t="shared" si="0"/>
        <v>1267</v>
      </c>
      <c r="E5" s="222">
        <f t="shared" si="0"/>
        <v>240460</v>
      </c>
      <c r="F5" s="222">
        <f t="shared" si="0"/>
        <v>155</v>
      </c>
      <c r="G5" s="222">
        <f t="shared" si="0"/>
        <v>248358.62</v>
      </c>
      <c r="H5" s="222">
        <f t="shared" si="0"/>
        <v>1783</v>
      </c>
      <c r="I5" s="222">
        <f t="shared" si="0"/>
        <v>677510.58960000006</v>
      </c>
    </row>
    <row r="6" spans="1:14" s="22" customFormat="1" ht="18" customHeight="1">
      <c r="A6" s="226" t="s">
        <v>60</v>
      </c>
      <c r="B6" s="232">
        <v>19</v>
      </c>
      <c r="C6" s="208">
        <v>11880</v>
      </c>
      <c r="D6" s="232">
        <v>40</v>
      </c>
      <c r="E6" s="208">
        <v>15200</v>
      </c>
      <c r="F6" s="232">
        <v>11</v>
      </c>
      <c r="G6" s="208">
        <v>27559.1</v>
      </c>
      <c r="H6" s="232">
        <v>70</v>
      </c>
      <c r="I6" s="208">
        <v>54638.720000000001</v>
      </c>
    </row>
    <row r="7" spans="1:14" s="22" customFormat="1" ht="18" customHeight="1">
      <c r="A7" s="226" t="s">
        <v>59</v>
      </c>
      <c r="B7" s="232">
        <v>33</v>
      </c>
      <c r="C7" s="208">
        <v>21706</v>
      </c>
      <c r="D7" s="232">
        <v>48</v>
      </c>
      <c r="E7" s="208">
        <v>14911.19</v>
      </c>
      <c r="F7" s="232">
        <v>26</v>
      </c>
      <c r="G7" s="208">
        <v>47956.3</v>
      </c>
      <c r="H7" s="232">
        <v>107</v>
      </c>
      <c r="I7" s="208">
        <v>84573.49</v>
      </c>
    </row>
    <row r="8" spans="1:14" s="22" customFormat="1" ht="18" customHeight="1">
      <c r="A8" s="226" t="s">
        <v>310</v>
      </c>
      <c r="B8" s="232">
        <v>43</v>
      </c>
      <c r="C8" s="208">
        <v>18704</v>
      </c>
      <c r="D8" s="232">
        <v>136</v>
      </c>
      <c r="E8" s="208">
        <v>28221</v>
      </c>
      <c r="F8" s="232">
        <v>9</v>
      </c>
      <c r="G8" s="208">
        <v>23289</v>
      </c>
      <c r="H8" s="232">
        <v>188</v>
      </c>
      <c r="I8" s="208">
        <v>70214</v>
      </c>
    </row>
    <row r="9" spans="1:14" s="22" customFormat="1" ht="18" customHeight="1">
      <c r="A9" s="226" t="s">
        <v>356</v>
      </c>
      <c r="B9" s="232">
        <v>40</v>
      </c>
      <c r="C9" s="208">
        <v>17454.84</v>
      </c>
      <c r="D9" s="232">
        <v>191</v>
      </c>
      <c r="E9" s="208">
        <v>20187.64</v>
      </c>
      <c r="F9" s="232">
        <v>12</v>
      </c>
      <c r="G9" s="208">
        <v>10319.200000000001</v>
      </c>
      <c r="H9" s="232">
        <v>243</v>
      </c>
      <c r="I9" s="208">
        <v>47961.68</v>
      </c>
    </row>
    <row r="10" spans="1:14" s="22" customFormat="1" ht="18" customHeight="1">
      <c r="A10" s="207">
        <v>44044</v>
      </c>
      <c r="B10" s="232">
        <v>26</v>
      </c>
      <c r="C10" s="208">
        <v>5592.7</v>
      </c>
      <c r="D10" s="232">
        <v>163</v>
      </c>
      <c r="E10" s="208">
        <v>21144.71</v>
      </c>
      <c r="F10" s="232">
        <v>24</v>
      </c>
      <c r="G10" s="208">
        <v>31681.8</v>
      </c>
      <c r="H10" s="232">
        <f>SUM(B10,D10,F10)</f>
        <v>213</v>
      </c>
      <c r="I10" s="208">
        <f>SUM(C10,E10,G10)</f>
        <v>58419.21</v>
      </c>
    </row>
    <row r="11" spans="1:14" s="22" customFormat="1" ht="18" customHeight="1">
      <c r="A11" s="207">
        <v>44075</v>
      </c>
      <c r="B11" s="232">
        <v>34</v>
      </c>
      <c r="C11" s="208">
        <v>12161.71</v>
      </c>
      <c r="D11" s="232">
        <v>145</v>
      </c>
      <c r="E11" s="208">
        <v>28999.54</v>
      </c>
      <c r="F11" s="232">
        <v>10</v>
      </c>
      <c r="G11" s="208">
        <v>23227.4</v>
      </c>
      <c r="H11" s="232">
        <v>189</v>
      </c>
      <c r="I11" s="208">
        <v>64388.65</v>
      </c>
    </row>
    <row r="12" spans="1:14" s="22" customFormat="1" ht="18" customHeight="1">
      <c r="A12" s="207">
        <v>44105</v>
      </c>
      <c r="B12" s="232">
        <v>26</v>
      </c>
      <c r="C12" s="208">
        <v>16792.11</v>
      </c>
      <c r="D12" s="232">
        <v>110</v>
      </c>
      <c r="E12" s="208">
        <v>24320.69</v>
      </c>
      <c r="F12" s="232">
        <v>11</v>
      </c>
      <c r="G12" s="208">
        <v>21218.01</v>
      </c>
      <c r="H12" s="232">
        <v>147</v>
      </c>
      <c r="I12" s="208">
        <v>62330.82</v>
      </c>
    </row>
    <row r="13" spans="1:14" s="22" customFormat="1" ht="18" customHeight="1">
      <c r="A13" s="207">
        <v>44136</v>
      </c>
      <c r="B13" s="232">
        <v>32</v>
      </c>
      <c r="C13" s="208">
        <v>17269.9728</v>
      </c>
      <c r="D13" s="232">
        <v>97</v>
      </c>
      <c r="E13" s="208">
        <v>10393.719999999999</v>
      </c>
      <c r="F13" s="232">
        <v>13</v>
      </c>
      <c r="G13" s="208">
        <v>17881.3</v>
      </c>
      <c r="H13" s="232">
        <v>142</v>
      </c>
      <c r="I13" s="208">
        <v>45544.992799999993</v>
      </c>
    </row>
    <row r="14" spans="1:14" s="22" customFormat="1" ht="18" customHeight="1">
      <c r="A14" s="207">
        <v>44166</v>
      </c>
      <c r="B14" s="232">
        <v>54</v>
      </c>
      <c r="C14" s="208">
        <v>29098</v>
      </c>
      <c r="D14" s="232">
        <v>174</v>
      </c>
      <c r="E14" s="208">
        <v>41715.43</v>
      </c>
      <c r="F14" s="232">
        <v>13</v>
      </c>
      <c r="G14" s="208">
        <v>17316.509999999998</v>
      </c>
      <c r="H14" s="232">
        <v>241</v>
      </c>
      <c r="I14" s="208">
        <v>88129.94</v>
      </c>
    </row>
    <row r="15" spans="1:14" s="22" customFormat="1" ht="18" customHeight="1">
      <c r="A15" s="207">
        <v>44197</v>
      </c>
      <c r="B15" s="232">
        <v>30</v>
      </c>
      <c r="C15" s="208">
        <v>17618.900000000001</v>
      </c>
      <c r="D15" s="232">
        <v>77</v>
      </c>
      <c r="E15" s="208">
        <v>18524.3</v>
      </c>
      <c r="F15" s="232">
        <v>11</v>
      </c>
      <c r="G15" s="208">
        <v>19480.5</v>
      </c>
      <c r="H15" s="232">
        <v>118</v>
      </c>
      <c r="I15" s="208">
        <v>55623.7</v>
      </c>
    </row>
    <row r="16" spans="1:14" s="22" customFormat="1" ht="18" customHeight="1">
      <c r="A16" s="207">
        <v>44228</v>
      </c>
      <c r="B16" s="232">
        <v>24</v>
      </c>
      <c r="C16" s="208">
        <v>20414.108</v>
      </c>
      <c r="D16" s="232">
        <v>86</v>
      </c>
      <c r="E16" s="208">
        <v>16841.78</v>
      </c>
      <c r="F16" s="232">
        <v>15</v>
      </c>
      <c r="G16" s="208">
        <v>8429.5</v>
      </c>
      <c r="H16" s="232">
        <v>125</v>
      </c>
      <c r="I16" s="208">
        <v>45685.3868</v>
      </c>
    </row>
    <row r="17" spans="1:9" s="22" customFormat="1" ht="18" customHeight="1">
      <c r="A17" s="29" t="s">
        <v>354</v>
      </c>
      <c r="B17" s="162"/>
      <c r="C17" s="34"/>
      <c r="D17" s="162"/>
      <c r="E17" s="34"/>
      <c r="F17" s="162"/>
      <c r="G17" s="34"/>
      <c r="H17" s="162"/>
      <c r="I17" s="34"/>
    </row>
    <row r="18" spans="1:9" s="22" customFormat="1" ht="15" customHeight="1">
      <c r="A18" s="87" t="s">
        <v>1173</v>
      </c>
      <c r="B18" s="87"/>
    </row>
    <row r="19" spans="1:9" s="22" customFormat="1" ht="13.5" customHeight="1">
      <c r="A19" s="1180" t="s">
        <v>86</v>
      </c>
      <c r="B19" s="1180"/>
    </row>
    <row r="20" spans="1:9" s="22" customFormat="1" ht="27" customHeight="1"/>
  </sheetData>
  <mergeCells count="7">
    <mergeCell ref="A19:B19"/>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9"/>
  <sheetViews>
    <sheetView workbookViewId="0">
      <selection activeCell="H28" sqref="H28"/>
    </sheetView>
  </sheetViews>
  <sheetFormatPr defaultColWidth="8.85546875" defaultRowHeight="15"/>
  <cols>
    <col min="1" max="1" width="14.7109375" style="21" bestFit="1" customWidth="1"/>
    <col min="2" max="9" width="11.140625" style="21" customWidth="1"/>
    <col min="10" max="10" width="4.7109375" style="21" bestFit="1" customWidth="1"/>
    <col min="11" max="251" width="8.85546875" style="21"/>
    <col min="252" max="253" width="14.7109375" style="21" bestFit="1" customWidth="1"/>
    <col min="254" max="254" width="19.42578125" style="21" bestFit="1" customWidth="1"/>
    <col min="255" max="255" width="14.7109375" style="21" bestFit="1" customWidth="1"/>
    <col min="256" max="256" width="19.42578125" style="21" bestFit="1" customWidth="1"/>
    <col min="257" max="257" width="7.42578125" style="21" bestFit="1" customWidth="1"/>
    <col min="258" max="258" width="16.7109375" style="21" bestFit="1" customWidth="1"/>
    <col min="259" max="259" width="9.7109375" style="21" bestFit="1" customWidth="1"/>
    <col min="260" max="260" width="2.7109375" style="21" bestFit="1" customWidth="1"/>
    <col min="261" max="261" width="13.28515625" style="21" bestFit="1" customWidth="1"/>
    <col min="262" max="262" width="4.7109375" style="21" bestFit="1" customWidth="1"/>
    <col min="263" max="507" width="8.85546875" style="21"/>
    <col min="508" max="509" width="14.7109375" style="21" bestFit="1" customWidth="1"/>
    <col min="510" max="510" width="19.42578125" style="21" bestFit="1" customWidth="1"/>
    <col min="511" max="511" width="14.7109375" style="21" bestFit="1" customWidth="1"/>
    <col min="512" max="512" width="19.42578125" style="21" bestFit="1" customWidth="1"/>
    <col min="513" max="513" width="7.42578125" style="21" bestFit="1" customWidth="1"/>
    <col min="514" max="514" width="16.7109375" style="21" bestFit="1" customWidth="1"/>
    <col min="515" max="515" width="9.7109375" style="21" bestFit="1" customWidth="1"/>
    <col min="516" max="516" width="2.7109375" style="21" bestFit="1" customWidth="1"/>
    <col min="517" max="517" width="13.28515625" style="21" bestFit="1" customWidth="1"/>
    <col min="518" max="518" width="4.7109375" style="21" bestFit="1" customWidth="1"/>
    <col min="519" max="763" width="8.85546875" style="21"/>
    <col min="764" max="765" width="14.7109375" style="21" bestFit="1" customWidth="1"/>
    <col min="766" max="766" width="19.42578125" style="21" bestFit="1" customWidth="1"/>
    <col min="767" max="767" width="14.7109375" style="21" bestFit="1" customWidth="1"/>
    <col min="768" max="768" width="19.42578125" style="21" bestFit="1" customWidth="1"/>
    <col min="769" max="769" width="7.42578125" style="21" bestFit="1" customWidth="1"/>
    <col min="770" max="770" width="16.7109375" style="21" bestFit="1" customWidth="1"/>
    <col min="771" max="771" width="9.7109375" style="21" bestFit="1" customWidth="1"/>
    <col min="772" max="772" width="2.7109375" style="21" bestFit="1" customWidth="1"/>
    <col min="773" max="773" width="13.28515625" style="21" bestFit="1" customWidth="1"/>
    <col min="774" max="774" width="4.7109375" style="21" bestFit="1" customWidth="1"/>
    <col min="775" max="1019" width="8.85546875" style="21"/>
    <col min="1020" max="1021" width="14.7109375" style="21" bestFit="1" customWidth="1"/>
    <col min="1022" max="1022" width="19.42578125" style="21" bestFit="1" customWidth="1"/>
    <col min="1023" max="1023" width="14.7109375" style="21" bestFit="1" customWidth="1"/>
    <col min="1024" max="1024" width="19.42578125" style="21" bestFit="1" customWidth="1"/>
    <col min="1025" max="1025" width="7.42578125" style="21" bestFit="1" customWidth="1"/>
    <col min="1026" max="1026" width="16.7109375" style="21" bestFit="1" customWidth="1"/>
    <col min="1027" max="1027" width="9.7109375" style="21" bestFit="1" customWidth="1"/>
    <col min="1028" max="1028" width="2.7109375" style="21" bestFit="1" customWidth="1"/>
    <col min="1029" max="1029" width="13.28515625" style="21" bestFit="1" customWidth="1"/>
    <col min="1030" max="1030" width="4.7109375" style="21" bestFit="1" customWidth="1"/>
    <col min="1031" max="1275" width="8.85546875" style="21"/>
    <col min="1276" max="1277" width="14.7109375" style="21" bestFit="1" customWidth="1"/>
    <col min="1278" max="1278" width="19.42578125" style="21" bestFit="1" customWidth="1"/>
    <col min="1279" max="1279" width="14.7109375" style="21" bestFit="1" customWidth="1"/>
    <col min="1280" max="1280" width="19.42578125" style="21" bestFit="1" customWidth="1"/>
    <col min="1281" max="1281" width="7.42578125" style="21" bestFit="1" customWidth="1"/>
    <col min="1282" max="1282" width="16.7109375" style="21" bestFit="1" customWidth="1"/>
    <col min="1283" max="1283" width="9.7109375" style="21" bestFit="1" customWidth="1"/>
    <col min="1284" max="1284" width="2.7109375" style="21" bestFit="1" customWidth="1"/>
    <col min="1285" max="1285" width="13.28515625" style="21" bestFit="1" customWidth="1"/>
    <col min="1286" max="1286" width="4.7109375" style="21" bestFit="1" customWidth="1"/>
    <col min="1287" max="1531" width="8.85546875" style="21"/>
    <col min="1532" max="1533" width="14.7109375" style="21" bestFit="1" customWidth="1"/>
    <col min="1534" max="1534" width="19.42578125" style="21" bestFit="1" customWidth="1"/>
    <col min="1535" max="1535" width="14.7109375" style="21" bestFit="1" customWidth="1"/>
    <col min="1536" max="1536" width="19.42578125" style="21" bestFit="1" customWidth="1"/>
    <col min="1537" max="1537" width="7.42578125" style="21" bestFit="1" customWidth="1"/>
    <col min="1538" max="1538" width="16.7109375" style="21" bestFit="1" customWidth="1"/>
    <col min="1539" max="1539" width="9.7109375" style="21" bestFit="1" customWidth="1"/>
    <col min="1540" max="1540" width="2.7109375" style="21" bestFit="1" customWidth="1"/>
    <col min="1541" max="1541" width="13.28515625" style="21" bestFit="1" customWidth="1"/>
    <col min="1542" max="1542" width="4.7109375" style="21" bestFit="1" customWidth="1"/>
    <col min="1543" max="1787" width="8.85546875" style="21"/>
    <col min="1788" max="1789" width="14.7109375" style="21" bestFit="1" customWidth="1"/>
    <col min="1790" max="1790" width="19.42578125" style="21" bestFit="1" customWidth="1"/>
    <col min="1791" max="1791" width="14.7109375" style="21" bestFit="1" customWidth="1"/>
    <col min="1792" max="1792" width="19.42578125" style="21" bestFit="1" customWidth="1"/>
    <col min="1793" max="1793" width="7.42578125" style="21" bestFit="1" customWidth="1"/>
    <col min="1794" max="1794" width="16.7109375" style="21" bestFit="1" customWidth="1"/>
    <col min="1795" max="1795" width="9.7109375" style="21" bestFit="1" customWidth="1"/>
    <col min="1796" max="1796" width="2.7109375" style="21" bestFit="1" customWidth="1"/>
    <col min="1797" max="1797" width="13.28515625" style="21" bestFit="1" customWidth="1"/>
    <col min="1798" max="1798" width="4.7109375" style="21" bestFit="1" customWidth="1"/>
    <col min="1799" max="2043" width="8.85546875" style="21"/>
    <col min="2044" max="2045" width="14.7109375" style="21" bestFit="1" customWidth="1"/>
    <col min="2046" max="2046" width="19.42578125" style="21" bestFit="1" customWidth="1"/>
    <col min="2047" max="2047" width="14.7109375" style="21" bestFit="1" customWidth="1"/>
    <col min="2048" max="2048" width="19.42578125" style="21" bestFit="1" customWidth="1"/>
    <col min="2049" max="2049" width="7.42578125" style="21" bestFit="1" customWidth="1"/>
    <col min="2050" max="2050" width="16.7109375" style="21" bestFit="1" customWidth="1"/>
    <col min="2051" max="2051" width="9.7109375" style="21" bestFit="1" customWidth="1"/>
    <col min="2052" max="2052" width="2.7109375" style="21" bestFit="1" customWidth="1"/>
    <col min="2053" max="2053" width="13.28515625" style="21" bestFit="1" customWidth="1"/>
    <col min="2054" max="2054" width="4.7109375" style="21" bestFit="1" customWidth="1"/>
    <col min="2055" max="2299" width="8.85546875" style="21"/>
    <col min="2300" max="2301" width="14.7109375" style="21" bestFit="1" customWidth="1"/>
    <col min="2302" max="2302" width="19.42578125" style="21" bestFit="1" customWidth="1"/>
    <col min="2303" max="2303" width="14.7109375" style="21" bestFit="1" customWidth="1"/>
    <col min="2304" max="2304" width="19.42578125" style="21" bestFit="1" customWidth="1"/>
    <col min="2305" max="2305" width="7.42578125" style="21" bestFit="1" customWidth="1"/>
    <col min="2306" max="2306" width="16.7109375" style="21" bestFit="1" customWidth="1"/>
    <col min="2307" max="2307" width="9.7109375" style="21" bestFit="1" customWidth="1"/>
    <col min="2308" max="2308" width="2.7109375" style="21" bestFit="1" customWidth="1"/>
    <col min="2309" max="2309" width="13.28515625" style="21" bestFit="1" customWidth="1"/>
    <col min="2310" max="2310" width="4.7109375" style="21" bestFit="1" customWidth="1"/>
    <col min="2311" max="2555" width="8.85546875" style="21"/>
    <col min="2556" max="2557" width="14.7109375" style="21" bestFit="1" customWidth="1"/>
    <col min="2558" max="2558" width="19.42578125" style="21" bestFit="1" customWidth="1"/>
    <col min="2559" max="2559" width="14.7109375" style="21" bestFit="1" customWidth="1"/>
    <col min="2560" max="2560" width="19.42578125" style="21" bestFit="1" customWidth="1"/>
    <col min="2561" max="2561" width="7.42578125" style="21" bestFit="1" customWidth="1"/>
    <col min="2562" max="2562" width="16.7109375" style="21" bestFit="1" customWidth="1"/>
    <col min="2563" max="2563" width="9.7109375" style="21" bestFit="1" customWidth="1"/>
    <col min="2564" max="2564" width="2.7109375" style="21" bestFit="1" customWidth="1"/>
    <col min="2565" max="2565" width="13.28515625" style="21" bestFit="1" customWidth="1"/>
    <col min="2566" max="2566" width="4.7109375" style="21" bestFit="1" customWidth="1"/>
    <col min="2567" max="2811" width="8.85546875" style="21"/>
    <col min="2812" max="2813" width="14.7109375" style="21" bestFit="1" customWidth="1"/>
    <col min="2814" max="2814" width="19.42578125" style="21" bestFit="1" customWidth="1"/>
    <col min="2815" max="2815" width="14.7109375" style="21" bestFit="1" customWidth="1"/>
    <col min="2816" max="2816" width="19.42578125" style="21" bestFit="1" customWidth="1"/>
    <col min="2817" max="2817" width="7.42578125" style="21" bestFit="1" customWidth="1"/>
    <col min="2818" max="2818" width="16.7109375" style="21" bestFit="1" customWidth="1"/>
    <col min="2819" max="2819" width="9.7109375" style="21" bestFit="1" customWidth="1"/>
    <col min="2820" max="2820" width="2.7109375" style="21" bestFit="1" customWidth="1"/>
    <col min="2821" max="2821" width="13.28515625" style="21" bestFit="1" customWidth="1"/>
    <col min="2822" max="2822" width="4.7109375" style="21" bestFit="1" customWidth="1"/>
    <col min="2823" max="3067" width="8.85546875" style="21"/>
    <col min="3068" max="3069" width="14.7109375" style="21" bestFit="1" customWidth="1"/>
    <col min="3070" max="3070" width="19.42578125" style="21" bestFit="1" customWidth="1"/>
    <col min="3071" max="3071" width="14.7109375" style="21" bestFit="1" customWidth="1"/>
    <col min="3072" max="3072" width="19.42578125" style="21" bestFit="1" customWidth="1"/>
    <col min="3073" max="3073" width="7.42578125" style="21" bestFit="1" customWidth="1"/>
    <col min="3074" max="3074" width="16.7109375" style="21" bestFit="1" customWidth="1"/>
    <col min="3075" max="3075" width="9.7109375" style="21" bestFit="1" customWidth="1"/>
    <col min="3076" max="3076" width="2.7109375" style="21" bestFit="1" customWidth="1"/>
    <col min="3077" max="3077" width="13.28515625" style="21" bestFit="1" customWidth="1"/>
    <col min="3078" max="3078" width="4.7109375" style="21" bestFit="1" customWidth="1"/>
    <col min="3079" max="3323" width="8.85546875" style="21"/>
    <col min="3324" max="3325" width="14.7109375" style="21" bestFit="1" customWidth="1"/>
    <col min="3326" max="3326" width="19.42578125" style="21" bestFit="1" customWidth="1"/>
    <col min="3327" max="3327" width="14.7109375" style="21" bestFit="1" customWidth="1"/>
    <col min="3328" max="3328" width="19.42578125" style="21" bestFit="1" customWidth="1"/>
    <col min="3329" max="3329" width="7.42578125" style="21" bestFit="1" customWidth="1"/>
    <col min="3330" max="3330" width="16.7109375" style="21" bestFit="1" customWidth="1"/>
    <col min="3331" max="3331" width="9.7109375" style="21" bestFit="1" customWidth="1"/>
    <col min="3332" max="3332" width="2.7109375" style="21" bestFit="1" customWidth="1"/>
    <col min="3333" max="3333" width="13.28515625" style="21" bestFit="1" customWidth="1"/>
    <col min="3334" max="3334" width="4.7109375" style="21" bestFit="1" customWidth="1"/>
    <col min="3335" max="3579" width="8.85546875" style="21"/>
    <col min="3580" max="3581" width="14.7109375" style="21" bestFit="1" customWidth="1"/>
    <col min="3582" max="3582" width="19.42578125" style="21" bestFit="1" customWidth="1"/>
    <col min="3583" max="3583" width="14.7109375" style="21" bestFit="1" customWidth="1"/>
    <col min="3584" max="3584" width="19.42578125" style="21" bestFit="1" customWidth="1"/>
    <col min="3585" max="3585" width="7.42578125" style="21" bestFit="1" customWidth="1"/>
    <col min="3586" max="3586" width="16.7109375" style="21" bestFit="1" customWidth="1"/>
    <col min="3587" max="3587" width="9.7109375" style="21" bestFit="1" customWidth="1"/>
    <col min="3588" max="3588" width="2.7109375" style="21" bestFit="1" customWidth="1"/>
    <col min="3589" max="3589" width="13.28515625" style="21" bestFit="1" customWidth="1"/>
    <col min="3590" max="3590" width="4.7109375" style="21" bestFit="1" customWidth="1"/>
    <col min="3591" max="3835" width="8.85546875" style="21"/>
    <col min="3836" max="3837" width="14.7109375" style="21" bestFit="1" customWidth="1"/>
    <col min="3838" max="3838" width="19.42578125" style="21" bestFit="1" customWidth="1"/>
    <col min="3839" max="3839" width="14.7109375" style="21" bestFit="1" customWidth="1"/>
    <col min="3840" max="3840" width="19.42578125" style="21" bestFit="1" customWidth="1"/>
    <col min="3841" max="3841" width="7.42578125" style="21" bestFit="1" customWidth="1"/>
    <col min="3842" max="3842" width="16.7109375" style="21" bestFit="1" customWidth="1"/>
    <col min="3843" max="3843" width="9.7109375" style="21" bestFit="1" customWidth="1"/>
    <col min="3844" max="3844" width="2.7109375" style="21" bestFit="1" customWidth="1"/>
    <col min="3845" max="3845" width="13.28515625" style="21" bestFit="1" customWidth="1"/>
    <col min="3846" max="3846" width="4.7109375" style="21" bestFit="1" customWidth="1"/>
    <col min="3847" max="4091" width="8.85546875" style="21"/>
    <col min="4092" max="4093" width="14.7109375" style="21" bestFit="1" customWidth="1"/>
    <col min="4094" max="4094" width="19.42578125" style="21" bestFit="1" customWidth="1"/>
    <col min="4095" max="4095" width="14.7109375" style="21" bestFit="1" customWidth="1"/>
    <col min="4096" max="4096" width="19.42578125" style="21" bestFit="1" customWidth="1"/>
    <col min="4097" max="4097" width="7.42578125" style="21" bestFit="1" customWidth="1"/>
    <col min="4098" max="4098" width="16.7109375" style="21" bestFit="1" customWidth="1"/>
    <col min="4099" max="4099" width="9.7109375" style="21" bestFit="1" customWidth="1"/>
    <col min="4100" max="4100" width="2.7109375" style="21" bestFit="1" customWidth="1"/>
    <col min="4101" max="4101" width="13.28515625" style="21" bestFit="1" customWidth="1"/>
    <col min="4102" max="4102" width="4.7109375" style="21" bestFit="1" customWidth="1"/>
    <col min="4103" max="4347" width="8.85546875" style="21"/>
    <col min="4348" max="4349" width="14.7109375" style="21" bestFit="1" customWidth="1"/>
    <col min="4350" max="4350" width="19.42578125" style="21" bestFit="1" customWidth="1"/>
    <col min="4351" max="4351" width="14.7109375" style="21" bestFit="1" customWidth="1"/>
    <col min="4352" max="4352" width="19.42578125" style="21" bestFit="1" customWidth="1"/>
    <col min="4353" max="4353" width="7.42578125" style="21" bestFit="1" customWidth="1"/>
    <col min="4354" max="4354" width="16.7109375" style="21" bestFit="1" customWidth="1"/>
    <col min="4355" max="4355" width="9.7109375" style="21" bestFit="1" customWidth="1"/>
    <col min="4356" max="4356" width="2.7109375" style="21" bestFit="1" customWidth="1"/>
    <col min="4357" max="4357" width="13.28515625" style="21" bestFit="1" customWidth="1"/>
    <col min="4358" max="4358" width="4.7109375" style="21" bestFit="1" customWidth="1"/>
    <col min="4359" max="4603" width="8.85546875" style="21"/>
    <col min="4604" max="4605" width="14.7109375" style="21" bestFit="1" customWidth="1"/>
    <col min="4606" max="4606" width="19.42578125" style="21" bestFit="1" customWidth="1"/>
    <col min="4607" max="4607" width="14.7109375" style="21" bestFit="1" customWidth="1"/>
    <col min="4608" max="4608" width="19.42578125" style="21" bestFit="1" customWidth="1"/>
    <col min="4609" max="4609" width="7.42578125" style="21" bestFit="1" customWidth="1"/>
    <col min="4610" max="4610" width="16.7109375" style="21" bestFit="1" customWidth="1"/>
    <col min="4611" max="4611" width="9.7109375" style="21" bestFit="1" customWidth="1"/>
    <col min="4612" max="4612" width="2.7109375" style="21" bestFit="1" customWidth="1"/>
    <col min="4613" max="4613" width="13.28515625" style="21" bestFit="1" customWidth="1"/>
    <col min="4614" max="4614" width="4.7109375" style="21" bestFit="1" customWidth="1"/>
    <col min="4615" max="4859" width="8.85546875" style="21"/>
    <col min="4860" max="4861" width="14.7109375" style="21" bestFit="1" customWidth="1"/>
    <col min="4862" max="4862" width="19.42578125" style="21" bestFit="1" customWidth="1"/>
    <col min="4863" max="4863" width="14.7109375" style="21" bestFit="1" customWidth="1"/>
    <col min="4864" max="4864" width="19.42578125" style="21" bestFit="1" customWidth="1"/>
    <col min="4865" max="4865" width="7.42578125" style="21" bestFit="1" customWidth="1"/>
    <col min="4866" max="4866" width="16.7109375" style="21" bestFit="1" customWidth="1"/>
    <col min="4867" max="4867" width="9.7109375" style="21" bestFit="1" customWidth="1"/>
    <col min="4868" max="4868" width="2.7109375" style="21" bestFit="1" customWidth="1"/>
    <col min="4869" max="4869" width="13.28515625" style="21" bestFit="1" customWidth="1"/>
    <col min="4870" max="4870" width="4.7109375" style="21" bestFit="1" customWidth="1"/>
    <col min="4871" max="5115" width="8.85546875" style="21"/>
    <col min="5116" max="5117" width="14.7109375" style="21" bestFit="1" customWidth="1"/>
    <col min="5118" max="5118" width="19.42578125" style="21" bestFit="1" customWidth="1"/>
    <col min="5119" max="5119" width="14.7109375" style="21" bestFit="1" customWidth="1"/>
    <col min="5120" max="5120" width="19.42578125" style="21" bestFit="1" customWidth="1"/>
    <col min="5121" max="5121" width="7.42578125" style="21" bestFit="1" customWidth="1"/>
    <col min="5122" max="5122" width="16.7109375" style="21" bestFit="1" customWidth="1"/>
    <col min="5123" max="5123" width="9.7109375" style="21" bestFit="1" customWidth="1"/>
    <col min="5124" max="5124" width="2.7109375" style="21" bestFit="1" customWidth="1"/>
    <col min="5125" max="5125" width="13.28515625" style="21" bestFit="1" customWidth="1"/>
    <col min="5126" max="5126" width="4.7109375" style="21" bestFit="1" customWidth="1"/>
    <col min="5127" max="5371" width="8.85546875" style="21"/>
    <col min="5372" max="5373" width="14.7109375" style="21" bestFit="1" customWidth="1"/>
    <col min="5374" max="5374" width="19.42578125" style="21" bestFit="1" customWidth="1"/>
    <col min="5375" max="5375" width="14.7109375" style="21" bestFit="1" customWidth="1"/>
    <col min="5376" max="5376" width="19.42578125" style="21" bestFit="1" customWidth="1"/>
    <col min="5377" max="5377" width="7.42578125" style="21" bestFit="1" customWidth="1"/>
    <col min="5378" max="5378" width="16.7109375" style="21" bestFit="1" customWidth="1"/>
    <col min="5379" max="5379" width="9.7109375" style="21" bestFit="1" customWidth="1"/>
    <col min="5380" max="5380" width="2.7109375" style="21" bestFit="1" customWidth="1"/>
    <col min="5381" max="5381" width="13.28515625" style="21" bestFit="1" customWidth="1"/>
    <col min="5382" max="5382" width="4.7109375" style="21" bestFit="1" customWidth="1"/>
    <col min="5383" max="5627" width="8.85546875" style="21"/>
    <col min="5628" max="5629" width="14.7109375" style="21" bestFit="1" customWidth="1"/>
    <col min="5630" max="5630" width="19.42578125" style="21" bestFit="1" customWidth="1"/>
    <col min="5631" max="5631" width="14.7109375" style="21" bestFit="1" customWidth="1"/>
    <col min="5632" max="5632" width="19.42578125" style="21" bestFit="1" customWidth="1"/>
    <col min="5633" max="5633" width="7.42578125" style="21" bestFit="1" customWidth="1"/>
    <col min="5634" max="5634" width="16.7109375" style="21" bestFit="1" customWidth="1"/>
    <col min="5635" max="5635" width="9.7109375" style="21" bestFit="1" customWidth="1"/>
    <col min="5636" max="5636" width="2.7109375" style="21" bestFit="1" customWidth="1"/>
    <col min="5637" max="5637" width="13.28515625" style="21" bestFit="1" customWidth="1"/>
    <col min="5638" max="5638" width="4.7109375" style="21" bestFit="1" customWidth="1"/>
    <col min="5639" max="5883" width="8.85546875" style="21"/>
    <col min="5884" max="5885" width="14.7109375" style="21" bestFit="1" customWidth="1"/>
    <col min="5886" max="5886" width="19.42578125" style="21" bestFit="1" customWidth="1"/>
    <col min="5887" max="5887" width="14.7109375" style="21" bestFit="1" customWidth="1"/>
    <col min="5888" max="5888" width="19.42578125" style="21" bestFit="1" customWidth="1"/>
    <col min="5889" max="5889" width="7.42578125" style="21" bestFit="1" customWidth="1"/>
    <col min="5890" max="5890" width="16.7109375" style="21" bestFit="1" customWidth="1"/>
    <col min="5891" max="5891" width="9.7109375" style="21" bestFit="1" customWidth="1"/>
    <col min="5892" max="5892" width="2.7109375" style="21" bestFit="1" customWidth="1"/>
    <col min="5893" max="5893" width="13.28515625" style="21" bestFit="1" customWidth="1"/>
    <col min="5894" max="5894" width="4.7109375" style="21" bestFit="1" customWidth="1"/>
    <col min="5895" max="6139" width="8.85546875" style="21"/>
    <col min="6140" max="6141" width="14.7109375" style="21" bestFit="1" customWidth="1"/>
    <col min="6142" max="6142" width="19.42578125" style="21" bestFit="1" customWidth="1"/>
    <col min="6143" max="6143" width="14.7109375" style="21" bestFit="1" customWidth="1"/>
    <col min="6144" max="6144" width="19.42578125" style="21" bestFit="1" customWidth="1"/>
    <col min="6145" max="6145" width="7.42578125" style="21" bestFit="1" customWidth="1"/>
    <col min="6146" max="6146" width="16.7109375" style="21" bestFit="1" customWidth="1"/>
    <col min="6147" max="6147" width="9.7109375" style="21" bestFit="1" customWidth="1"/>
    <col min="6148" max="6148" width="2.7109375" style="21" bestFit="1" customWidth="1"/>
    <col min="6149" max="6149" width="13.28515625" style="21" bestFit="1" customWidth="1"/>
    <col min="6150" max="6150" width="4.7109375" style="21" bestFit="1" customWidth="1"/>
    <col min="6151" max="6395" width="8.85546875" style="21"/>
    <col min="6396" max="6397" width="14.7109375" style="21" bestFit="1" customWidth="1"/>
    <col min="6398" max="6398" width="19.42578125" style="21" bestFit="1" customWidth="1"/>
    <col min="6399" max="6399" width="14.7109375" style="21" bestFit="1" customWidth="1"/>
    <col min="6400" max="6400" width="19.42578125" style="21" bestFit="1" customWidth="1"/>
    <col min="6401" max="6401" width="7.42578125" style="21" bestFit="1" customWidth="1"/>
    <col min="6402" max="6402" width="16.7109375" style="21" bestFit="1" customWidth="1"/>
    <col min="6403" max="6403" width="9.7109375" style="21" bestFit="1" customWidth="1"/>
    <col min="6404" max="6404" width="2.7109375" style="21" bestFit="1" customWidth="1"/>
    <col min="6405" max="6405" width="13.28515625" style="21" bestFit="1" customWidth="1"/>
    <col min="6406" max="6406" width="4.7109375" style="21" bestFit="1" customWidth="1"/>
    <col min="6407" max="6651" width="8.85546875" style="21"/>
    <col min="6652" max="6653" width="14.7109375" style="21" bestFit="1" customWidth="1"/>
    <col min="6654" max="6654" width="19.42578125" style="21" bestFit="1" customWidth="1"/>
    <col min="6655" max="6655" width="14.7109375" style="21" bestFit="1" customWidth="1"/>
    <col min="6656" max="6656" width="19.42578125" style="21" bestFit="1" customWidth="1"/>
    <col min="6657" max="6657" width="7.42578125" style="21" bestFit="1" customWidth="1"/>
    <col min="6658" max="6658" width="16.7109375" style="21" bestFit="1" customWidth="1"/>
    <col min="6659" max="6659" width="9.7109375" style="21" bestFit="1" customWidth="1"/>
    <col min="6660" max="6660" width="2.7109375" style="21" bestFit="1" customWidth="1"/>
    <col min="6661" max="6661" width="13.28515625" style="21" bestFit="1" customWidth="1"/>
    <col min="6662" max="6662" width="4.7109375" style="21" bestFit="1" customWidth="1"/>
    <col min="6663" max="6907" width="8.85546875" style="21"/>
    <col min="6908" max="6909" width="14.7109375" style="21" bestFit="1" customWidth="1"/>
    <col min="6910" max="6910" width="19.42578125" style="21" bestFit="1" customWidth="1"/>
    <col min="6911" max="6911" width="14.7109375" style="21" bestFit="1" customWidth="1"/>
    <col min="6912" max="6912" width="19.42578125" style="21" bestFit="1" customWidth="1"/>
    <col min="6913" max="6913" width="7.42578125" style="21" bestFit="1" customWidth="1"/>
    <col min="6914" max="6914" width="16.7109375" style="21" bestFit="1" customWidth="1"/>
    <col min="6915" max="6915" width="9.7109375" style="21" bestFit="1" customWidth="1"/>
    <col min="6916" max="6916" width="2.7109375" style="21" bestFit="1" customWidth="1"/>
    <col min="6917" max="6917" width="13.28515625" style="21" bestFit="1" customWidth="1"/>
    <col min="6918" max="6918" width="4.7109375" style="21" bestFit="1" customWidth="1"/>
    <col min="6919" max="7163" width="8.85546875" style="21"/>
    <col min="7164" max="7165" width="14.7109375" style="21" bestFit="1" customWidth="1"/>
    <col min="7166" max="7166" width="19.42578125" style="21" bestFit="1" customWidth="1"/>
    <col min="7167" max="7167" width="14.7109375" style="21" bestFit="1" customWidth="1"/>
    <col min="7168" max="7168" width="19.42578125" style="21" bestFit="1" customWidth="1"/>
    <col min="7169" max="7169" width="7.42578125" style="21" bestFit="1" customWidth="1"/>
    <col min="7170" max="7170" width="16.7109375" style="21" bestFit="1" customWidth="1"/>
    <col min="7171" max="7171" width="9.7109375" style="21" bestFit="1" customWidth="1"/>
    <col min="7172" max="7172" width="2.7109375" style="21" bestFit="1" customWidth="1"/>
    <col min="7173" max="7173" width="13.28515625" style="21" bestFit="1" customWidth="1"/>
    <col min="7174" max="7174" width="4.7109375" style="21" bestFit="1" customWidth="1"/>
    <col min="7175" max="7419" width="8.85546875" style="21"/>
    <col min="7420" max="7421" width="14.7109375" style="21" bestFit="1" customWidth="1"/>
    <col min="7422" max="7422" width="19.42578125" style="21" bestFit="1" customWidth="1"/>
    <col min="7423" max="7423" width="14.7109375" style="21" bestFit="1" customWidth="1"/>
    <col min="7424" max="7424" width="19.42578125" style="21" bestFit="1" customWidth="1"/>
    <col min="7425" max="7425" width="7.42578125" style="21" bestFit="1" customWidth="1"/>
    <col min="7426" max="7426" width="16.7109375" style="21" bestFit="1" customWidth="1"/>
    <col min="7427" max="7427" width="9.7109375" style="21" bestFit="1" customWidth="1"/>
    <col min="7428" max="7428" width="2.7109375" style="21" bestFit="1" customWidth="1"/>
    <col min="7429" max="7429" width="13.28515625" style="21" bestFit="1" customWidth="1"/>
    <col min="7430" max="7430" width="4.7109375" style="21" bestFit="1" customWidth="1"/>
    <col min="7431" max="7675" width="8.85546875" style="21"/>
    <col min="7676" max="7677" width="14.7109375" style="21" bestFit="1" customWidth="1"/>
    <col min="7678" max="7678" width="19.42578125" style="21" bestFit="1" customWidth="1"/>
    <col min="7679" max="7679" width="14.7109375" style="21" bestFit="1" customWidth="1"/>
    <col min="7680" max="7680" width="19.42578125" style="21" bestFit="1" customWidth="1"/>
    <col min="7681" max="7681" width="7.42578125" style="21" bestFit="1" customWidth="1"/>
    <col min="7682" max="7682" width="16.7109375" style="21" bestFit="1" customWidth="1"/>
    <col min="7683" max="7683" width="9.7109375" style="21" bestFit="1" customWidth="1"/>
    <col min="7684" max="7684" width="2.7109375" style="21" bestFit="1" customWidth="1"/>
    <col min="7685" max="7685" width="13.28515625" style="21" bestFit="1" customWidth="1"/>
    <col min="7686" max="7686" width="4.7109375" style="21" bestFit="1" customWidth="1"/>
    <col min="7687" max="7931" width="8.85546875" style="21"/>
    <col min="7932" max="7933" width="14.7109375" style="21" bestFit="1" customWidth="1"/>
    <col min="7934" max="7934" width="19.42578125" style="21" bestFit="1" customWidth="1"/>
    <col min="7935" max="7935" width="14.7109375" style="21" bestFit="1" customWidth="1"/>
    <col min="7936" max="7936" width="19.42578125" style="21" bestFit="1" customWidth="1"/>
    <col min="7937" max="7937" width="7.42578125" style="21" bestFit="1" customWidth="1"/>
    <col min="7938" max="7938" width="16.7109375" style="21" bestFit="1" customWidth="1"/>
    <col min="7939" max="7939" width="9.7109375" style="21" bestFit="1" customWidth="1"/>
    <col min="7940" max="7940" width="2.7109375" style="21" bestFit="1" customWidth="1"/>
    <col min="7941" max="7941" width="13.28515625" style="21" bestFit="1" customWidth="1"/>
    <col min="7942" max="7942" width="4.7109375" style="21" bestFit="1" customWidth="1"/>
    <col min="7943" max="8187" width="8.85546875" style="21"/>
    <col min="8188" max="8189" width="14.7109375" style="21" bestFit="1" customWidth="1"/>
    <col min="8190" max="8190" width="19.42578125" style="21" bestFit="1" customWidth="1"/>
    <col min="8191" max="8191" width="14.7109375" style="21" bestFit="1" customWidth="1"/>
    <col min="8192" max="8192" width="19.42578125" style="21" bestFit="1" customWidth="1"/>
    <col min="8193" max="8193" width="7.42578125" style="21" bestFit="1" customWidth="1"/>
    <col min="8194" max="8194" width="16.7109375" style="21" bestFit="1" customWidth="1"/>
    <col min="8195" max="8195" width="9.7109375" style="21" bestFit="1" customWidth="1"/>
    <col min="8196" max="8196" width="2.7109375" style="21" bestFit="1" customWidth="1"/>
    <col min="8197" max="8197" width="13.28515625" style="21" bestFit="1" customWidth="1"/>
    <col min="8198" max="8198" width="4.7109375" style="21" bestFit="1" customWidth="1"/>
    <col min="8199" max="8443" width="8.85546875" style="21"/>
    <col min="8444" max="8445" width="14.7109375" style="21" bestFit="1" customWidth="1"/>
    <col min="8446" max="8446" width="19.42578125" style="21" bestFit="1" customWidth="1"/>
    <col min="8447" max="8447" width="14.7109375" style="21" bestFit="1" customWidth="1"/>
    <col min="8448" max="8448" width="19.42578125" style="21" bestFit="1" customWidth="1"/>
    <col min="8449" max="8449" width="7.42578125" style="21" bestFit="1" customWidth="1"/>
    <col min="8450" max="8450" width="16.7109375" style="21" bestFit="1" customWidth="1"/>
    <col min="8451" max="8451" width="9.7109375" style="21" bestFit="1" customWidth="1"/>
    <col min="8452" max="8452" width="2.7109375" style="21" bestFit="1" customWidth="1"/>
    <col min="8453" max="8453" width="13.28515625" style="21" bestFit="1" customWidth="1"/>
    <col min="8454" max="8454" width="4.7109375" style="21" bestFit="1" customWidth="1"/>
    <col min="8455" max="8699" width="8.85546875" style="21"/>
    <col min="8700" max="8701" width="14.7109375" style="21" bestFit="1" customWidth="1"/>
    <col min="8702" max="8702" width="19.42578125" style="21" bestFit="1" customWidth="1"/>
    <col min="8703" max="8703" width="14.7109375" style="21" bestFit="1" customWidth="1"/>
    <col min="8704" max="8704" width="19.42578125" style="21" bestFit="1" customWidth="1"/>
    <col min="8705" max="8705" width="7.42578125" style="21" bestFit="1" customWidth="1"/>
    <col min="8706" max="8706" width="16.7109375" style="21" bestFit="1" customWidth="1"/>
    <col min="8707" max="8707" width="9.7109375" style="21" bestFit="1" customWidth="1"/>
    <col min="8708" max="8708" width="2.7109375" style="21" bestFit="1" customWidth="1"/>
    <col min="8709" max="8709" width="13.28515625" style="21" bestFit="1" customWidth="1"/>
    <col min="8710" max="8710" width="4.7109375" style="21" bestFit="1" customWidth="1"/>
    <col min="8711" max="8955" width="8.85546875" style="21"/>
    <col min="8956" max="8957" width="14.7109375" style="21" bestFit="1" customWidth="1"/>
    <col min="8958" max="8958" width="19.42578125" style="21" bestFit="1" customWidth="1"/>
    <col min="8959" max="8959" width="14.7109375" style="21" bestFit="1" customWidth="1"/>
    <col min="8960" max="8960" width="19.42578125" style="21" bestFit="1" customWidth="1"/>
    <col min="8961" max="8961" width="7.42578125" style="21" bestFit="1" customWidth="1"/>
    <col min="8962" max="8962" width="16.7109375" style="21" bestFit="1" customWidth="1"/>
    <col min="8963" max="8963" width="9.7109375" style="21" bestFit="1" customWidth="1"/>
    <col min="8964" max="8964" width="2.7109375" style="21" bestFit="1" customWidth="1"/>
    <col min="8965" max="8965" width="13.28515625" style="21" bestFit="1" customWidth="1"/>
    <col min="8966" max="8966" width="4.7109375" style="21" bestFit="1" customWidth="1"/>
    <col min="8967" max="9211" width="8.85546875" style="21"/>
    <col min="9212" max="9213" width="14.7109375" style="21" bestFit="1" customWidth="1"/>
    <col min="9214" max="9214" width="19.42578125" style="21" bestFit="1" customWidth="1"/>
    <col min="9215" max="9215" width="14.7109375" style="21" bestFit="1" customWidth="1"/>
    <col min="9216" max="9216" width="19.42578125" style="21" bestFit="1" customWidth="1"/>
    <col min="9217" max="9217" width="7.42578125" style="21" bestFit="1" customWidth="1"/>
    <col min="9218" max="9218" width="16.7109375" style="21" bestFit="1" customWidth="1"/>
    <col min="9219" max="9219" width="9.7109375" style="21" bestFit="1" customWidth="1"/>
    <col min="9220" max="9220" width="2.7109375" style="21" bestFit="1" customWidth="1"/>
    <col min="9221" max="9221" width="13.28515625" style="21" bestFit="1" customWidth="1"/>
    <col min="9222" max="9222" width="4.7109375" style="21" bestFit="1" customWidth="1"/>
    <col min="9223" max="9467" width="8.85546875" style="21"/>
    <col min="9468" max="9469" width="14.7109375" style="21" bestFit="1" customWidth="1"/>
    <col min="9470" max="9470" width="19.42578125" style="21" bestFit="1" customWidth="1"/>
    <col min="9471" max="9471" width="14.7109375" style="21" bestFit="1" customWidth="1"/>
    <col min="9472" max="9472" width="19.42578125" style="21" bestFit="1" customWidth="1"/>
    <col min="9473" max="9473" width="7.42578125" style="21" bestFit="1" customWidth="1"/>
    <col min="9474" max="9474" width="16.7109375" style="21" bestFit="1" customWidth="1"/>
    <col min="9475" max="9475" width="9.7109375" style="21" bestFit="1" customWidth="1"/>
    <col min="9476" max="9476" width="2.7109375" style="21" bestFit="1" customWidth="1"/>
    <col min="9477" max="9477" width="13.28515625" style="21" bestFit="1" customWidth="1"/>
    <col min="9478" max="9478" width="4.7109375" style="21" bestFit="1" customWidth="1"/>
    <col min="9479" max="9723" width="8.85546875" style="21"/>
    <col min="9724" max="9725" width="14.7109375" style="21" bestFit="1" customWidth="1"/>
    <col min="9726" max="9726" width="19.42578125" style="21" bestFit="1" customWidth="1"/>
    <col min="9727" max="9727" width="14.7109375" style="21" bestFit="1" customWidth="1"/>
    <col min="9728" max="9728" width="19.42578125" style="21" bestFit="1" customWidth="1"/>
    <col min="9729" max="9729" width="7.42578125" style="21" bestFit="1" customWidth="1"/>
    <col min="9730" max="9730" width="16.7109375" style="21" bestFit="1" customWidth="1"/>
    <col min="9731" max="9731" width="9.7109375" style="21" bestFit="1" customWidth="1"/>
    <col min="9732" max="9732" width="2.7109375" style="21" bestFit="1" customWidth="1"/>
    <col min="9733" max="9733" width="13.28515625" style="21" bestFit="1" customWidth="1"/>
    <col min="9734" max="9734" width="4.7109375" style="21" bestFit="1" customWidth="1"/>
    <col min="9735" max="9979" width="8.85546875" style="21"/>
    <col min="9980" max="9981" width="14.7109375" style="21" bestFit="1" customWidth="1"/>
    <col min="9982" max="9982" width="19.42578125" style="21" bestFit="1" customWidth="1"/>
    <col min="9983" max="9983" width="14.7109375" style="21" bestFit="1" customWidth="1"/>
    <col min="9984" max="9984" width="19.42578125" style="21" bestFit="1" customWidth="1"/>
    <col min="9985" max="9985" width="7.42578125" style="21" bestFit="1" customWidth="1"/>
    <col min="9986" max="9986" width="16.7109375" style="21" bestFit="1" customWidth="1"/>
    <col min="9987" max="9987" width="9.7109375" style="21" bestFit="1" customWidth="1"/>
    <col min="9988" max="9988" width="2.7109375" style="21" bestFit="1" customWidth="1"/>
    <col min="9989" max="9989" width="13.28515625" style="21" bestFit="1" customWidth="1"/>
    <col min="9990" max="9990" width="4.7109375" style="21" bestFit="1" customWidth="1"/>
    <col min="9991" max="10235" width="8.85546875" style="21"/>
    <col min="10236" max="10237" width="14.7109375" style="21" bestFit="1" customWidth="1"/>
    <col min="10238" max="10238" width="19.42578125" style="21" bestFit="1" customWidth="1"/>
    <col min="10239" max="10239" width="14.7109375" style="21" bestFit="1" customWidth="1"/>
    <col min="10240" max="10240" width="19.42578125" style="21" bestFit="1" customWidth="1"/>
    <col min="10241" max="10241" width="7.42578125" style="21" bestFit="1" customWidth="1"/>
    <col min="10242" max="10242" width="16.7109375" style="21" bestFit="1" customWidth="1"/>
    <col min="10243" max="10243" width="9.7109375" style="21" bestFit="1" customWidth="1"/>
    <col min="10244" max="10244" width="2.7109375" style="21" bestFit="1" customWidth="1"/>
    <col min="10245" max="10245" width="13.28515625" style="21" bestFit="1" customWidth="1"/>
    <col min="10246" max="10246" width="4.7109375" style="21" bestFit="1" customWidth="1"/>
    <col min="10247" max="10491" width="8.85546875" style="21"/>
    <col min="10492" max="10493" width="14.7109375" style="21" bestFit="1" customWidth="1"/>
    <col min="10494" max="10494" width="19.42578125" style="21" bestFit="1" customWidth="1"/>
    <col min="10495" max="10495" width="14.7109375" style="21" bestFit="1" customWidth="1"/>
    <col min="10496" max="10496" width="19.42578125" style="21" bestFit="1" customWidth="1"/>
    <col min="10497" max="10497" width="7.42578125" style="21" bestFit="1" customWidth="1"/>
    <col min="10498" max="10498" width="16.7109375" style="21" bestFit="1" customWidth="1"/>
    <col min="10499" max="10499" width="9.7109375" style="21" bestFit="1" customWidth="1"/>
    <col min="10500" max="10500" width="2.7109375" style="21" bestFit="1" customWidth="1"/>
    <col min="10501" max="10501" width="13.28515625" style="21" bestFit="1" customWidth="1"/>
    <col min="10502" max="10502" width="4.7109375" style="21" bestFit="1" customWidth="1"/>
    <col min="10503" max="10747" width="8.85546875" style="21"/>
    <col min="10748" max="10749" width="14.7109375" style="21" bestFit="1" customWidth="1"/>
    <col min="10750" max="10750" width="19.42578125" style="21" bestFit="1" customWidth="1"/>
    <col min="10751" max="10751" width="14.7109375" style="21" bestFit="1" customWidth="1"/>
    <col min="10752" max="10752" width="19.42578125" style="21" bestFit="1" customWidth="1"/>
    <col min="10753" max="10753" width="7.42578125" style="21" bestFit="1" customWidth="1"/>
    <col min="10754" max="10754" width="16.7109375" style="21" bestFit="1" customWidth="1"/>
    <col min="10755" max="10755" width="9.7109375" style="21" bestFit="1" customWidth="1"/>
    <col min="10756" max="10756" width="2.7109375" style="21" bestFit="1" customWidth="1"/>
    <col min="10757" max="10757" width="13.28515625" style="21" bestFit="1" customWidth="1"/>
    <col min="10758" max="10758" width="4.7109375" style="21" bestFit="1" customWidth="1"/>
    <col min="10759" max="11003" width="8.85546875" style="21"/>
    <col min="11004" max="11005" width="14.7109375" style="21" bestFit="1" customWidth="1"/>
    <col min="11006" max="11006" width="19.42578125" style="21" bestFit="1" customWidth="1"/>
    <col min="11007" max="11007" width="14.7109375" style="21" bestFit="1" customWidth="1"/>
    <col min="11008" max="11008" width="19.42578125" style="21" bestFit="1" customWidth="1"/>
    <col min="11009" max="11009" width="7.42578125" style="21" bestFit="1" customWidth="1"/>
    <col min="11010" max="11010" width="16.7109375" style="21" bestFit="1" customWidth="1"/>
    <col min="11011" max="11011" width="9.7109375" style="21" bestFit="1" customWidth="1"/>
    <col min="11012" max="11012" width="2.7109375" style="21" bestFit="1" customWidth="1"/>
    <col min="11013" max="11013" width="13.28515625" style="21" bestFit="1" customWidth="1"/>
    <col min="11014" max="11014" width="4.7109375" style="21" bestFit="1" customWidth="1"/>
    <col min="11015" max="11259" width="8.85546875" style="21"/>
    <col min="11260" max="11261" width="14.7109375" style="21" bestFit="1" customWidth="1"/>
    <col min="11262" max="11262" width="19.42578125" style="21" bestFit="1" customWidth="1"/>
    <col min="11263" max="11263" width="14.7109375" style="21" bestFit="1" customWidth="1"/>
    <col min="11264" max="11264" width="19.42578125" style="21" bestFit="1" customWidth="1"/>
    <col min="11265" max="11265" width="7.42578125" style="21" bestFit="1" customWidth="1"/>
    <col min="11266" max="11266" width="16.7109375" style="21" bestFit="1" customWidth="1"/>
    <col min="11267" max="11267" width="9.7109375" style="21" bestFit="1" customWidth="1"/>
    <col min="11268" max="11268" width="2.7109375" style="21" bestFit="1" customWidth="1"/>
    <col min="11269" max="11269" width="13.28515625" style="21" bestFit="1" customWidth="1"/>
    <col min="11270" max="11270" width="4.7109375" style="21" bestFit="1" customWidth="1"/>
    <col min="11271" max="11515" width="8.85546875" style="21"/>
    <col min="11516" max="11517" width="14.7109375" style="21" bestFit="1" customWidth="1"/>
    <col min="11518" max="11518" width="19.42578125" style="21" bestFit="1" customWidth="1"/>
    <col min="11519" max="11519" width="14.7109375" style="21" bestFit="1" customWidth="1"/>
    <col min="11520" max="11520" width="19.42578125" style="21" bestFit="1" customWidth="1"/>
    <col min="11521" max="11521" width="7.42578125" style="21" bestFit="1" customWidth="1"/>
    <col min="11522" max="11522" width="16.7109375" style="21" bestFit="1" customWidth="1"/>
    <col min="11523" max="11523" width="9.7109375" style="21" bestFit="1" customWidth="1"/>
    <col min="11524" max="11524" width="2.7109375" style="21" bestFit="1" customWidth="1"/>
    <col min="11525" max="11525" width="13.28515625" style="21" bestFit="1" customWidth="1"/>
    <col min="11526" max="11526" width="4.7109375" style="21" bestFit="1" customWidth="1"/>
    <col min="11527" max="11771" width="8.85546875" style="21"/>
    <col min="11772" max="11773" width="14.7109375" style="21" bestFit="1" customWidth="1"/>
    <col min="11774" max="11774" width="19.42578125" style="21" bestFit="1" customWidth="1"/>
    <col min="11775" max="11775" width="14.7109375" style="21" bestFit="1" customWidth="1"/>
    <col min="11776" max="11776" width="19.42578125" style="21" bestFit="1" customWidth="1"/>
    <col min="11777" max="11777" width="7.42578125" style="21" bestFit="1" customWidth="1"/>
    <col min="11778" max="11778" width="16.7109375" style="21" bestFit="1" customWidth="1"/>
    <col min="11779" max="11779" width="9.7109375" style="21" bestFit="1" customWidth="1"/>
    <col min="11780" max="11780" width="2.7109375" style="21" bestFit="1" customWidth="1"/>
    <col min="11781" max="11781" width="13.28515625" style="21" bestFit="1" customWidth="1"/>
    <col min="11782" max="11782" width="4.7109375" style="21" bestFit="1" customWidth="1"/>
    <col min="11783" max="12027" width="8.85546875" style="21"/>
    <col min="12028" max="12029" width="14.7109375" style="21" bestFit="1" customWidth="1"/>
    <col min="12030" max="12030" width="19.42578125" style="21" bestFit="1" customWidth="1"/>
    <col min="12031" max="12031" width="14.7109375" style="21" bestFit="1" customWidth="1"/>
    <col min="12032" max="12032" width="19.42578125" style="21" bestFit="1" customWidth="1"/>
    <col min="12033" max="12033" width="7.42578125" style="21" bestFit="1" customWidth="1"/>
    <col min="12034" max="12034" width="16.7109375" style="21" bestFit="1" customWidth="1"/>
    <col min="12035" max="12035" width="9.7109375" style="21" bestFit="1" customWidth="1"/>
    <col min="12036" max="12036" width="2.7109375" style="21" bestFit="1" customWidth="1"/>
    <col min="12037" max="12037" width="13.28515625" style="21" bestFit="1" customWidth="1"/>
    <col min="12038" max="12038" width="4.7109375" style="21" bestFit="1" customWidth="1"/>
    <col min="12039" max="12283" width="8.85546875" style="21"/>
    <col min="12284" max="12285" width="14.7109375" style="21" bestFit="1" customWidth="1"/>
    <col min="12286" max="12286" width="19.42578125" style="21" bestFit="1" customWidth="1"/>
    <col min="12287" max="12287" width="14.7109375" style="21" bestFit="1" customWidth="1"/>
    <col min="12288" max="12288" width="19.42578125" style="21" bestFit="1" customWidth="1"/>
    <col min="12289" max="12289" width="7.42578125" style="21" bestFit="1" customWidth="1"/>
    <col min="12290" max="12290" width="16.7109375" style="21" bestFit="1" customWidth="1"/>
    <col min="12291" max="12291" width="9.7109375" style="21" bestFit="1" customWidth="1"/>
    <col min="12292" max="12292" width="2.7109375" style="21" bestFit="1" customWidth="1"/>
    <col min="12293" max="12293" width="13.28515625" style="21" bestFit="1" customWidth="1"/>
    <col min="12294" max="12294" width="4.7109375" style="21" bestFit="1" customWidth="1"/>
    <col min="12295" max="12539" width="8.85546875" style="21"/>
    <col min="12540" max="12541" width="14.7109375" style="21" bestFit="1" customWidth="1"/>
    <col min="12542" max="12542" width="19.42578125" style="21" bestFit="1" customWidth="1"/>
    <col min="12543" max="12543" width="14.7109375" style="21" bestFit="1" customWidth="1"/>
    <col min="12544" max="12544" width="19.42578125" style="21" bestFit="1" customWidth="1"/>
    <col min="12545" max="12545" width="7.42578125" style="21" bestFit="1" customWidth="1"/>
    <col min="12546" max="12546" width="16.7109375" style="21" bestFit="1" customWidth="1"/>
    <col min="12547" max="12547" width="9.7109375" style="21" bestFit="1" customWidth="1"/>
    <col min="12548" max="12548" width="2.7109375" style="21" bestFit="1" customWidth="1"/>
    <col min="12549" max="12549" width="13.28515625" style="21" bestFit="1" customWidth="1"/>
    <col min="12550" max="12550" width="4.7109375" style="21" bestFit="1" customWidth="1"/>
    <col min="12551" max="12795" width="8.85546875" style="21"/>
    <col min="12796" max="12797" width="14.7109375" style="21" bestFit="1" customWidth="1"/>
    <col min="12798" max="12798" width="19.42578125" style="21" bestFit="1" customWidth="1"/>
    <col min="12799" max="12799" width="14.7109375" style="21" bestFit="1" customWidth="1"/>
    <col min="12800" max="12800" width="19.42578125" style="21" bestFit="1" customWidth="1"/>
    <col min="12801" max="12801" width="7.42578125" style="21" bestFit="1" customWidth="1"/>
    <col min="12802" max="12802" width="16.7109375" style="21" bestFit="1" customWidth="1"/>
    <col min="12803" max="12803" width="9.7109375" style="21" bestFit="1" customWidth="1"/>
    <col min="12804" max="12804" width="2.7109375" style="21" bestFit="1" customWidth="1"/>
    <col min="12805" max="12805" width="13.28515625" style="21" bestFit="1" customWidth="1"/>
    <col min="12806" max="12806" width="4.7109375" style="21" bestFit="1" customWidth="1"/>
    <col min="12807" max="13051" width="8.85546875" style="21"/>
    <col min="13052" max="13053" width="14.7109375" style="21" bestFit="1" customWidth="1"/>
    <col min="13054" max="13054" width="19.42578125" style="21" bestFit="1" customWidth="1"/>
    <col min="13055" max="13055" width="14.7109375" style="21" bestFit="1" customWidth="1"/>
    <col min="13056" max="13056" width="19.42578125" style="21" bestFit="1" customWidth="1"/>
    <col min="13057" max="13057" width="7.42578125" style="21" bestFit="1" customWidth="1"/>
    <col min="13058" max="13058" width="16.7109375" style="21" bestFit="1" customWidth="1"/>
    <col min="13059" max="13059" width="9.7109375" style="21" bestFit="1" customWidth="1"/>
    <col min="13060" max="13060" width="2.7109375" style="21" bestFit="1" customWidth="1"/>
    <col min="13061" max="13061" width="13.28515625" style="21" bestFit="1" customWidth="1"/>
    <col min="13062" max="13062" width="4.7109375" style="21" bestFit="1" customWidth="1"/>
    <col min="13063" max="13307" width="8.85546875" style="21"/>
    <col min="13308" max="13309" width="14.7109375" style="21" bestFit="1" customWidth="1"/>
    <col min="13310" max="13310" width="19.42578125" style="21" bestFit="1" customWidth="1"/>
    <col min="13311" max="13311" width="14.7109375" style="21" bestFit="1" customWidth="1"/>
    <col min="13312" max="13312" width="19.42578125" style="21" bestFit="1" customWidth="1"/>
    <col min="13313" max="13313" width="7.42578125" style="21" bestFit="1" customWidth="1"/>
    <col min="13314" max="13314" width="16.7109375" style="21" bestFit="1" customWidth="1"/>
    <col min="13315" max="13315" width="9.7109375" style="21" bestFit="1" customWidth="1"/>
    <col min="13316" max="13316" width="2.7109375" style="21" bestFit="1" customWidth="1"/>
    <col min="13317" max="13317" width="13.28515625" style="21" bestFit="1" customWidth="1"/>
    <col min="13318" max="13318" width="4.7109375" style="21" bestFit="1" customWidth="1"/>
    <col min="13319" max="13563" width="8.85546875" style="21"/>
    <col min="13564" max="13565" width="14.7109375" style="21" bestFit="1" customWidth="1"/>
    <col min="13566" max="13566" width="19.42578125" style="21" bestFit="1" customWidth="1"/>
    <col min="13567" max="13567" width="14.7109375" style="21" bestFit="1" customWidth="1"/>
    <col min="13568" max="13568" width="19.42578125" style="21" bestFit="1" customWidth="1"/>
    <col min="13569" max="13569" width="7.42578125" style="21" bestFit="1" customWidth="1"/>
    <col min="13570" max="13570" width="16.7109375" style="21" bestFit="1" customWidth="1"/>
    <col min="13571" max="13571" width="9.7109375" style="21" bestFit="1" customWidth="1"/>
    <col min="13572" max="13572" width="2.7109375" style="21" bestFit="1" customWidth="1"/>
    <col min="13573" max="13573" width="13.28515625" style="21" bestFit="1" customWidth="1"/>
    <col min="13574" max="13574" width="4.7109375" style="21" bestFit="1" customWidth="1"/>
    <col min="13575" max="13819" width="8.85546875" style="21"/>
    <col min="13820" max="13821" width="14.7109375" style="21" bestFit="1" customWidth="1"/>
    <col min="13822" max="13822" width="19.42578125" style="21" bestFit="1" customWidth="1"/>
    <col min="13823" max="13823" width="14.7109375" style="21" bestFit="1" customWidth="1"/>
    <col min="13824" max="13824" width="19.42578125" style="21" bestFit="1" customWidth="1"/>
    <col min="13825" max="13825" width="7.42578125" style="21" bestFit="1" customWidth="1"/>
    <col min="13826" max="13826" width="16.7109375" style="21" bestFit="1" customWidth="1"/>
    <col min="13827" max="13827" width="9.7109375" style="21" bestFit="1" customWidth="1"/>
    <col min="13828" max="13828" width="2.7109375" style="21" bestFit="1" customWidth="1"/>
    <col min="13829" max="13829" width="13.28515625" style="21" bestFit="1" customWidth="1"/>
    <col min="13830" max="13830" width="4.7109375" style="21" bestFit="1" customWidth="1"/>
    <col min="13831" max="14075" width="8.85546875" style="21"/>
    <col min="14076" max="14077" width="14.7109375" style="21" bestFit="1" customWidth="1"/>
    <col min="14078" max="14078" width="19.42578125" style="21" bestFit="1" customWidth="1"/>
    <col min="14079" max="14079" width="14.7109375" style="21" bestFit="1" customWidth="1"/>
    <col min="14080" max="14080" width="19.42578125" style="21" bestFit="1" customWidth="1"/>
    <col min="14081" max="14081" width="7.42578125" style="21" bestFit="1" customWidth="1"/>
    <col min="14082" max="14082" width="16.7109375" style="21" bestFit="1" customWidth="1"/>
    <col min="14083" max="14083" width="9.7109375" style="21" bestFit="1" customWidth="1"/>
    <col min="14084" max="14084" width="2.7109375" style="21" bestFit="1" customWidth="1"/>
    <col min="14085" max="14085" width="13.28515625" style="21" bestFit="1" customWidth="1"/>
    <col min="14086" max="14086" width="4.7109375" style="21" bestFit="1" customWidth="1"/>
    <col min="14087" max="14331" width="8.85546875" style="21"/>
    <col min="14332" max="14333" width="14.7109375" style="21" bestFit="1" customWidth="1"/>
    <col min="14334" max="14334" width="19.42578125" style="21" bestFit="1" customWidth="1"/>
    <col min="14335" max="14335" width="14.7109375" style="21" bestFit="1" customWidth="1"/>
    <col min="14336" max="14336" width="19.42578125" style="21" bestFit="1" customWidth="1"/>
    <col min="14337" max="14337" width="7.42578125" style="21" bestFit="1" customWidth="1"/>
    <col min="14338" max="14338" width="16.7109375" style="21" bestFit="1" customWidth="1"/>
    <col min="14339" max="14339" width="9.7109375" style="21" bestFit="1" customWidth="1"/>
    <col min="14340" max="14340" width="2.7109375" style="21" bestFit="1" customWidth="1"/>
    <col min="14341" max="14341" width="13.28515625" style="21" bestFit="1" customWidth="1"/>
    <col min="14342" max="14342" width="4.7109375" style="21" bestFit="1" customWidth="1"/>
    <col min="14343" max="14587" width="8.85546875" style="21"/>
    <col min="14588" max="14589" width="14.7109375" style="21" bestFit="1" customWidth="1"/>
    <col min="14590" max="14590" width="19.42578125" style="21" bestFit="1" customWidth="1"/>
    <col min="14591" max="14591" width="14.7109375" style="21" bestFit="1" customWidth="1"/>
    <col min="14592" max="14592" width="19.42578125" style="21" bestFit="1" customWidth="1"/>
    <col min="14593" max="14593" width="7.42578125" style="21" bestFit="1" customWidth="1"/>
    <col min="14594" max="14594" width="16.7109375" style="21" bestFit="1" customWidth="1"/>
    <col min="14595" max="14595" width="9.7109375" style="21" bestFit="1" customWidth="1"/>
    <col min="14596" max="14596" width="2.7109375" style="21" bestFit="1" customWidth="1"/>
    <col min="14597" max="14597" width="13.28515625" style="21" bestFit="1" customWidth="1"/>
    <col min="14598" max="14598" width="4.7109375" style="21" bestFit="1" customWidth="1"/>
    <col min="14599" max="14843" width="8.85546875" style="21"/>
    <col min="14844" max="14845" width="14.7109375" style="21" bestFit="1" customWidth="1"/>
    <col min="14846" max="14846" width="19.42578125" style="21" bestFit="1" customWidth="1"/>
    <col min="14847" max="14847" width="14.7109375" style="21" bestFit="1" customWidth="1"/>
    <col min="14848" max="14848" width="19.42578125" style="21" bestFit="1" customWidth="1"/>
    <col min="14849" max="14849" width="7.42578125" style="21" bestFit="1" customWidth="1"/>
    <col min="14850" max="14850" width="16.7109375" style="21" bestFit="1" customWidth="1"/>
    <col min="14851" max="14851" width="9.7109375" style="21" bestFit="1" customWidth="1"/>
    <col min="14852" max="14852" width="2.7109375" style="21" bestFit="1" customWidth="1"/>
    <col min="14853" max="14853" width="13.28515625" style="21" bestFit="1" customWidth="1"/>
    <col min="14854" max="14854" width="4.7109375" style="21" bestFit="1" customWidth="1"/>
    <col min="14855" max="15099" width="8.85546875" style="21"/>
    <col min="15100" max="15101" width="14.7109375" style="21" bestFit="1" customWidth="1"/>
    <col min="15102" max="15102" width="19.42578125" style="21" bestFit="1" customWidth="1"/>
    <col min="15103" max="15103" width="14.7109375" style="21" bestFit="1" customWidth="1"/>
    <col min="15104" max="15104" width="19.42578125" style="21" bestFit="1" customWidth="1"/>
    <col min="15105" max="15105" width="7.42578125" style="21" bestFit="1" customWidth="1"/>
    <col min="15106" max="15106" width="16.7109375" style="21" bestFit="1" customWidth="1"/>
    <col min="15107" max="15107" width="9.7109375" style="21" bestFit="1" customWidth="1"/>
    <col min="15108" max="15108" width="2.7109375" style="21" bestFit="1" customWidth="1"/>
    <col min="15109" max="15109" width="13.28515625" style="21" bestFit="1" customWidth="1"/>
    <col min="15110" max="15110" width="4.7109375" style="21" bestFit="1" customWidth="1"/>
    <col min="15111" max="15355" width="8.85546875" style="21"/>
    <col min="15356" max="15357" width="14.7109375" style="21" bestFit="1" customWidth="1"/>
    <col min="15358" max="15358" width="19.42578125" style="21" bestFit="1" customWidth="1"/>
    <col min="15359" max="15359" width="14.7109375" style="21" bestFit="1" customWidth="1"/>
    <col min="15360" max="15360" width="19.42578125" style="21" bestFit="1" customWidth="1"/>
    <col min="15361" max="15361" width="7.42578125" style="21" bestFit="1" customWidth="1"/>
    <col min="15362" max="15362" width="16.7109375" style="21" bestFit="1" customWidth="1"/>
    <col min="15363" max="15363" width="9.7109375" style="21" bestFit="1" customWidth="1"/>
    <col min="15364" max="15364" width="2.7109375" style="21" bestFit="1" customWidth="1"/>
    <col min="15365" max="15365" width="13.28515625" style="21" bestFit="1" customWidth="1"/>
    <col min="15366" max="15366" width="4.7109375" style="21" bestFit="1" customWidth="1"/>
    <col min="15367" max="15611" width="8.85546875" style="21"/>
    <col min="15612" max="15613" width="14.7109375" style="21" bestFit="1" customWidth="1"/>
    <col min="15614" max="15614" width="19.42578125" style="21" bestFit="1" customWidth="1"/>
    <col min="15615" max="15615" width="14.7109375" style="21" bestFit="1" customWidth="1"/>
    <col min="15616" max="15616" width="19.42578125" style="21" bestFit="1" customWidth="1"/>
    <col min="15617" max="15617" width="7.42578125" style="21" bestFit="1" customWidth="1"/>
    <col min="15618" max="15618" width="16.7109375" style="21" bestFit="1" customWidth="1"/>
    <col min="15619" max="15619" width="9.7109375" style="21" bestFit="1" customWidth="1"/>
    <col min="15620" max="15620" width="2.7109375" style="21" bestFit="1" customWidth="1"/>
    <col min="15621" max="15621" width="13.28515625" style="21" bestFit="1" customWidth="1"/>
    <col min="15622" max="15622" width="4.7109375" style="21" bestFit="1" customWidth="1"/>
    <col min="15623" max="15867" width="8.85546875" style="21"/>
    <col min="15868" max="15869" width="14.7109375" style="21" bestFit="1" customWidth="1"/>
    <col min="15870" max="15870" width="19.42578125" style="21" bestFit="1" customWidth="1"/>
    <col min="15871" max="15871" width="14.7109375" style="21" bestFit="1" customWidth="1"/>
    <col min="15872" max="15872" width="19.42578125" style="21" bestFit="1" customWidth="1"/>
    <col min="15873" max="15873" width="7.42578125" style="21" bestFit="1" customWidth="1"/>
    <col min="15874" max="15874" width="16.7109375" style="21" bestFit="1" customWidth="1"/>
    <col min="15875" max="15875" width="9.7109375" style="21" bestFit="1" customWidth="1"/>
    <col min="15876" max="15876" width="2.7109375" style="21" bestFit="1" customWidth="1"/>
    <col min="15877" max="15877" width="13.28515625" style="21" bestFit="1" customWidth="1"/>
    <col min="15878" max="15878" width="4.7109375" style="21" bestFit="1" customWidth="1"/>
    <col min="15879" max="16123" width="8.85546875" style="21"/>
    <col min="16124" max="16125" width="14.7109375" style="21" bestFit="1" customWidth="1"/>
    <col min="16126" max="16126" width="19.42578125" style="21" bestFit="1" customWidth="1"/>
    <col min="16127" max="16127" width="14.7109375" style="21" bestFit="1" customWidth="1"/>
    <col min="16128" max="16128" width="19.42578125" style="21" bestFit="1" customWidth="1"/>
    <col min="16129" max="16129" width="7.42578125" style="21" bestFit="1" customWidth="1"/>
    <col min="16130" max="16130" width="16.7109375" style="21" bestFit="1" customWidth="1"/>
    <col min="16131" max="16131" width="9.7109375" style="21" bestFit="1" customWidth="1"/>
    <col min="16132" max="16132" width="2.7109375" style="21" bestFit="1" customWidth="1"/>
    <col min="16133" max="16133" width="13.28515625" style="21" bestFit="1" customWidth="1"/>
    <col min="16134" max="16134" width="4.7109375" style="21" bestFit="1" customWidth="1"/>
    <col min="16135" max="16384" width="8.85546875" style="21"/>
  </cols>
  <sheetData>
    <row r="1" spans="1:9" ht="15" customHeight="1">
      <c r="A1" s="42" t="s">
        <v>3</v>
      </c>
      <c r="B1" s="42"/>
      <c r="C1" s="42"/>
      <c r="D1" s="42"/>
      <c r="E1" s="42"/>
      <c r="F1" s="42"/>
      <c r="G1" s="42"/>
      <c r="H1" s="42"/>
      <c r="I1" s="42"/>
    </row>
    <row r="2" spans="1:9" s="24" customFormat="1" ht="15" customHeight="1">
      <c r="A2" s="158" t="s">
        <v>51</v>
      </c>
      <c r="B2" s="159" t="s">
        <v>87</v>
      </c>
      <c r="C2" s="160"/>
      <c r="D2" s="159" t="s">
        <v>88</v>
      </c>
      <c r="E2" s="160"/>
      <c r="F2" s="159" t="s">
        <v>89</v>
      </c>
      <c r="G2" s="160"/>
      <c r="H2" s="159" t="s">
        <v>53</v>
      </c>
      <c r="I2" s="160"/>
    </row>
    <row r="3" spans="1:9" s="24" customFormat="1" ht="45">
      <c r="A3" s="233"/>
      <c r="B3" s="234" t="s">
        <v>90</v>
      </c>
      <c r="C3" s="234" t="s">
        <v>399</v>
      </c>
      <c r="D3" s="234" t="s">
        <v>90</v>
      </c>
      <c r="E3" s="234" t="s">
        <v>399</v>
      </c>
      <c r="F3" s="234" t="s">
        <v>90</v>
      </c>
      <c r="G3" s="235" t="s">
        <v>399</v>
      </c>
      <c r="H3" s="234" t="s">
        <v>90</v>
      </c>
      <c r="I3" s="235" t="s">
        <v>399</v>
      </c>
    </row>
    <row r="4" spans="1:9" s="24" customFormat="1" ht="15" customHeight="1">
      <c r="A4" s="236" t="s">
        <v>58</v>
      </c>
      <c r="B4" s="237">
        <v>53494</v>
      </c>
      <c r="C4" s="238">
        <v>705786.56</v>
      </c>
      <c r="D4" s="237">
        <v>74463</v>
      </c>
      <c r="E4" s="238">
        <v>1359020.23</v>
      </c>
      <c r="F4" s="239">
        <v>0</v>
      </c>
      <c r="G4" s="239">
        <v>0</v>
      </c>
      <c r="H4" s="239">
        <v>127957</v>
      </c>
      <c r="I4" s="239">
        <v>2064806.84</v>
      </c>
    </row>
    <row r="5" spans="1:9" s="22" customFormat="1" ht="15" customHeight="1">
      <c r="A5" s="240" t="s">
        <v>61</v>
      </c>
      <c r="B5" s="222">
        <v>60726</v>
      </c>
      <c r="C5" s="222">
        <v>596169.97673999995</v>
      </c>
      <c r="D5" s="222">
        <v>62556</v>
      </c>
      <c r="E5" s="222">
        <v>1117103.922</v>
      </c>
      <c r="F5" s="222">
        <v>0</v>
      </c>
      <c r="G5" s="222">
        <v>0</v>
      </c>
      <c r="H5" s="222">
        <v>123282</v>
      </c>
      <c r="I5" s="222">
        <v>1713273.8987</v>
      </c>
    </row>
    <row r="6" spans="1:9" s="22" customFormat="1" ht="15" customHeight="1">
      <c r="A6" s="226" t="s">
        <v>60</v>
      </c>
      <c r="B6" s="208">
        <v>3753</v>
      </c>
      <c r="C6" s="208">
        <v>65285.07</v>
      </c>
      <c r="D6" s="208">
        <v>5173</v>
      </c>
      <c r="E6" s="241">
        <v>149229.69</v>
      </c>
      <c r="F6" s="227">
        <v>0</v>
      </c>
      <c r="G6" s="227">
        <v>0</v>
      </c>
      <c r="H6" s="227">
        <f>B6+D6</f>
        <v>8926</v>
      </c>
      <c r="I6" s="227">
        <f>E6+C6</f>
        <v>214514.76</v>
      </c>
    </row>
    <row r="7" spans="1:9" s="22" customFormat="1" ht="15" customHeight="1">
      <c r="A7" s="226" t="s">
        <v>59</v>
      </c>
      <c r="B7" s="208">
        <v>4677</v>
      </c>
      <c r="C7" s="208">
        <v>64964.767999999996</v>
      </c>
      <c r="D7" s="208">
        <v>6004</v>
      </c>
      <c r="E7" s="241">
        <v>131841.63199999998</v>
      </c>
      <c r="F7" s="227">
        <v>0</v>
      </c>
      <c r="G7" s="227">
        <v>0</v>
      </c>
      <c r="H7" s="227">
        <f t="shared" ref="H7:H9" si="0">B7+D7</f>
        <v>10681</v>
      </c>
      <c r="I7" s="227">
        <f>E7+C7</f>
        <v>196806.39999999997</v>
      </c>
    </row>
    <row r="8" spans="1:9" s="24" customFormat="1" ht="15" customHeight="1">
      <c r="A8" s="242" t="s">
        <v>310</v>
      </c>
      <c r="B8" s="243">
        <v>7231</v>
      </c>
      <c r="C8" s="243">
        <v>76987.05</v>
      </c>
      <c r="D8" s="243">
        <v>7647</v>
      </c>
      <c r="E8" s="244">
        <v>130256.79</v>
      </c>
      <c r="F8" s="245">
        <v>0</v>
      </c>
      <c r="G8" s="245">
        <v>0</v>
      </c>
      <c r="H8" s="245">
        <f t="shared" si="0"/>
        <v>14878</v>
      </c>
      <c r="I8" s="245">
        <v>207243.84</v>
      </c>
    </row>
    <row r="9" spans="1:9" s="24" customFormat="1" ht="15" customHeight="1">
      <c r="A9" s="242" t="s">
        <v>356</v>
      </c>
      <c r="B9" s="243">
        <v>6813</v>
      </c>
      <c r="C9" s="243">
        <v>80074.63</v>
      </c>
      <c r="D9" s="243">
        <v>6710</v>
      </c>
      <c r="E9" s="244">
        <v>121730.01</v>
      </c>
      <c r="F9" s="245">
        <v>0</v>
      </c>
      <c r="G9" s="245">
        <v>0</v>
      </c>
      <c r="H9" s="245">
        <f t="shared" si="0"/>
        <v>13523</v>
      </c>
      <c r="I9" s="245">
        <v>201804.64</v>
      </c>
    </row>
    <row r="10" spans="1:9" s="24" customFormat="1" ht="15" customHeight="1">
      <c r="A10" s="207">
        <v>44044</v>
      </c>
      <c r="B10" s="243">
        <v>4946</v>
      </c>
      <c r="C10" s="243">
        <v>53915.519999999997</v>
      </c>
      <c r="D10" s="243">
        <v>5200</v>
      </c>
      <c r="E10" s="245">
        <v>89136.44</v>
      </c>
      <c r="F10" s="245">
        <v>0</v>
      </c>
      <c r="G10" s="245">
        <v>0</v>
      </c>
      <c r="H10" s="245">
        <f>SUM(B10,D10,F10)</f>
        <v>10146</v>
      </c>
      <c r="I10" s="245">
        <f>SUM(C10,E10,G10)</f>
        <v>143051.96</v>
      </c>
    </row>
    <row r="11" spans="1:9" s="24" customFormat="1" ht="15" customHeight="1">
      <c r="A11" s="207">
        <v>44075</v>
      </c>
      <c r="B11" s="243">
        <v>5695</v>
      </c>
      <c r="C11" s="243">
        <v>50693.919999999998</v>
      </c>
      <c r="D11" s="243">
        <v>5864</v>
      </c>
      <c r="E11" s="245">
        <v>90782.64</v>
      </c>
      <c r="F11" s="245">
        <v>0</v>
      </c>
      <c r="G11" s="245">
        <v>0</v>
      </c>
      <c r="H11" s="245">
        <v>11559</v>
      </c>
      <c r="I11" s="245">
        <v>141476.56</v>
      </c>
    </row>
    <row r="12" spans="1:9" s="24" customFormat="1" ht="15" customHeight="1">
      <c r="A12" s="207">
        <v>44105</v>
      </c>
      <c r="B12" s="243">
        <v>5019</v>
      </c>
      <c r="C12" s="243">
        <v>42448.36</v>
      </c>
      <c r="D12" s="243">
        <v>5332</v>
      </c>
      <c r="E12" s="245">
        <v>88404.000000000015</v>
      </c>
      <c r="F12" s="245">
        <v>0</v>
      </c>
      <c r="G12" s="245">
        <v>0</v>
      </c>
      <c r="H12" s="245">
        <v>10351</v>
      </c>
      <c r="I12" s="245">
        <v>130852.36000000002</v>
      </c>
    </row>
    <row r="13" spans="1:9" s="24" customFormat="1" ht="15" customHeight="1">
      <c r="A13" s="207">
        <v>44136</v>
      </c>
      <c r="B13" s="208">
        <v>4913</v>
      </c>
      <c r="C13" s="208">
        <v>35255.333224302012</v>
      </c>
      <c r="D13" s="208">
        <v>4860</v>
      </c>
      <c r="E13" s="227">
        <v>79665.3</v>
      </c>
      <c r="F13" s="227">
        <v>0</v>
      </c>
      <c r="G13" s="227">
        <v>0</v>
      </c>
      <c r="H13" s="227">
        <v>9773</v>
      </c>
      <c r="I13" s="227">
        <v>114920.633224302</v>
      </c>
    </row>
    <row r="14" spans="1:9" s="24" customFormat="1" ht="15" customHeight="1">
      <c r="A14" s="226" t="s">
        <v>457</v>
      </c>
      <c r="B14" s="208">
        <v>6496</v>
      </c>
      <c r="C14" s="208">
        <v>34626.160000000003</v>
      </c>
      <c r="D14" s="208">
        <v>5719</v>
      </c>
      <c r="E14" s="227">
        <v>76874.000000000015</v>
      </c>
      <c r="F14" s="227">
        <v>0</v>
      </c>
      <c r="G14" s="227">
        <v>0</v>
      </c>
      <c r="H14" s="227">
        <v>12215</v>
      </c>
      <c r="I14" s="227">
        <v>111500.16000000002</v>
      </c>
    </row>
    <row r="15" spans="1:9" s="24" customFormat="1" ht="15" customHeight="1">
      <c r="A15" s="207">
        <v>44197</v>
      </c>
      <c r="B15" s="208">
        <v>5537</v>
      </c>
      <c r="C15" s="208">
        <v>48384.845520000003</v>
      </c>
      <c r="D15" s="208">
        <v>5221</v>
      </c>
      <c r="E15" s="227">
        <v>83618.38</v>
      </c>
      <c r="F15" s="227">
        <v>0</v>
      </c>
      <c r="G15" s="227">
        <v>0</v>
      </c>
      <c r="H15" s="227">
        <v>10758</v>
      </c>
      <c r="I15" s="227">
        <v>132003.2255</v>
      </c>
    </row>
    <row r="16" spans="1:9" s="24" customFormat="1" ht="15" customHeight="1">
      <c r="A16" s="207">
        <v>44228</v>
      </c>
      <c r="B16" s="208">
        <v>5646</v>
      </c>
      <c r="C16" s="208">
        <v>43534.32</v>
      </c>
      <c r="D16" s="208">
        <v>4826</v>
      </c>
      <c r="E16" s="227">
        <v>75565.039999999994</v>
      </c>
      <c r="F16" s="227">
        <v>0</v>
      </c>
      <c r="G16" s="227">
        <v>0</v>
      </c>
      <c r="H16" s="227">
        <v>10472</v>
      </c>
      <c r="I16" s="227">
        <v>119099.36</v>
      </c>
    </row>
    <row r="17" spans="1:2" s="24" customFormat="1" ht="15" customHeight="1">
      <c r="A17" s="29" t="s">
        <v>354</v>
      </c>
      <c r="B17" s="162"/>
    </row>
    <row r="18" spans="1:2" s="24" customFormat="1" ht="15" customHeight="1">
      <c r="A18" s="190" t="s">
        <v>1173</v>
      </c>
      <c r="B18" s="190"/>
    </row>
    <row r="19" spans="1:2" s="24" customFormat="1" ht="15" customHeight="1">
      <c r="A19" s="190" t="s">
        <v>431</v>
      </c>
      <c r="B19" s="190"/>
    </row>
  </sheetData>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21"/>
  <sheetViews>
    <sheetView zoomScaleNormal="100" workbookViewId="0">
      <selection activeCell="E23" sqref="E23"/>
    </sheetView>
  </sheetViews>
  <sheetFormatPr defaultColWidth="8.85546875" defaultRowHeight="15"/>
  <cols>
    <col min="1" max="1" width="10.7109375" style="331" bestFit="1" customWidth="1"/>
    <col min="2" max="6" width="14.7109375" style="331" bestFit="1" customWidth="1"/>
    <col min="7" max="7" width="10.7109375" style="331" bestFit="1" customWidth="1"/>
    <col min="8" max="10" width="14.7109375" style="331" bestFit="1" customWidth="1"/>
    <col min="11" max="11" width="16.28515625" style="331" bestFit="1" customWidth="1"/>
    <col min="12" max="13" width="14.7109375" style="331" bestFit="1" customWidth="1"/>
    <col min="14" max="244" width="8.85546875" style="331"/>
    <col min="245" max="245" width="10.7109375" style="331" bestFit="1" customWidth="1"/>
    <col min="246" max="257" width="14.7109375" style="331" bestFit="1" customWidth="1"/>
    <col min="258" max="258" width="4.7109375" style="331" bestFit="1" customWidth="1"/>
    <col min="259" max="500" width="8.85546875" style="331"/>
    <col min="501" max="501" width="10.7109375" style="331" bestFit="1" customWidth="1"/>
    <col min="502" max="513" width="14.7109375" style="331" bestFit="1" customWidth="1"/>
    <col min="514" max="514" width="4.7109375" style="331" bestFit="1" customWidth="1"/>
    <col min="515" max="756" width="8.85546875" style="331"/>
    <col min="757" max="757" width="10.7109375" style="331" bestFit="1" customWidth="1"/>
    <col min="758" max="769" width="14.7109375" style="331" bestFit="1" customWidth="1"/>
    <col min="770" max="770" width="4.7109375" style="331" bestFit="1" customWidth="1"/>
    <col min="771" max="1012" width="8.85546875" style="331"/>
    <col min="1013" max="1013" width="10.7109375" style="331" bestFit="1" customWidth="1"/>
    <col min="1014" max="1025" width="14.7109375" style="331" bestFit="1" customWidth="1"/>
    <col min="1026" max="1026" width="4.7109375" style="331" bestFit="1" customWidth="1"/>
    <col min="1027" max="1268" width="8.85546875" style="331"/>
    <col min="1269" max="1269" width="10.7109375" style="331" bestFit="1" customWidth="1"/>
    <col min="1270" max="1281" width="14.7109375" style="331" bestFit="1" customWidth="1"/>
    <col min="1282" max="1282" width="4.7109375" style="331" bestFit="1" customWidth="1"/>
    <col min="1283" max="1524" width="8.85546875" style="331"/>
    <col min="1525" max="1525" width="10.7109375" style="331" bestFit="1" customWidth="1"/>
    <col min="1526" max="1537" width="14.7109375" style="331" bestFit="1" customWidth="1"/>
    <col min="1538" max="1538" width="4.7109375" style="331" bestFit="1" customWidth="1"/>
    <col min="1539" max="1780" width="8.85546875" style="331"/>
    <col min="1781" max="1781" width="10.7109375" style="331" bestFit="1" customWidth="1"/>
    <col min="1782" max="1793" width="14.7109375" style="331" bestFit="1" customWidth="1"/>
    <col min="1794" max="1794" width="4.7109375" style="331" bestFit="1" customWidth="1"/>
    <col min="1795" max="2036" width="8.85546875" style="331"/>
    <col min="2037" max="2037" width="10.7109375" style="331" bestFit="1" customWidth="1"/>
    <col min="2038" max="2049" width="14.7109375" style="331" bestFit="1" customWidth="1"/>
    <col min="2050" max="2050" width="4.7109375" style="331" bestFit="1" customWidth="1"/>
    <col min="2051" max="2292" width="8.85546875" style="331"/>
    <col min="2293" max="2293" width="10.7109375" style="331" bestFit="1" customWidth="1"/>
    <col min="2294" max="2305" width="14.7109375" style="331" bestFit="1" customWidth="1"/>
    <col min="2306" max="2306" width="4.7109375" style="331" bestFit="1" customWidth="1"/>
    <col min="2307" max="2548" width="8.85546875" style="331"/>
    <col min="2549" max="2549" width="10.7109375" style="331" bestFit="1" customWidth="1"/>
    <col min="2550" max="2561" width="14.7109375" style="331" bestFit="1" customWidth="1"/>
    <col min="2562" max="2562" width="4.7109375" style="331" bestFit="1" customWidth="1"/>
    <col min="2563" max="2804" width="8.85546875" style="331"/>
    <col min="2805" max="2805" width="10.7109375" style="331" bestFit="1" customWidth="1"/>
    <col min="2806" max="2817" width="14.7109375" style="331" bestFit="1" customWidth="1"/>
    <col min="2818" max="2818" width="4.7109375" style="331" bestFit="1" customWidth="1"/>
    <col min="2819" max="3060" width="8.85546875" style="331"/>
    <col min="3061" max="3061" width="10.7109375" style="331" bestFit="1" customWidth="1"/>
    <col min="3062" max="3073" width="14.7109375" style="331" bestFit="1" customWidth="1"/>
    <col min="3074" max="3074" width="4.7109375" style="331" bestFit="1" customWidth="1"/>
    <col min="3075" max="3316" width="8.85546875" style="331"/>
    <col min="3317" max="3317" width="10.7109375" style="331" bestFit="1" customWidth="1"/>
    <col min="3318" max="3329" width="14.7109375" style="331" bestFit="1" customWidth="1"/>
    <col min="3330" max="3330" width="4.7109375" style="331" bestFit="1" customWidth="1"/>
    <col min="3331" max="3572" width="8.85546875" style="331"/>
    <col min="3573" max="3573" width="10.7109375" style="331" bestFit="1" customWidth="1"/>
    <col min="3574" max="3585" width="14.7109375" style="331" bestFit="1" customWidth="1"/>
    <col min="3586" max="3586" width="4.7109375" style="331" bestFit="1" customWidth="1"/>
    <col min="3587" max="3828" width="8.85546875" style="331"/>
    <col min="3829" max="3829" width="10.7109375" style="331" bestFit="1" customWidth="1"/>
    <col min="3830" max="3841" width="14.7109375" style="331" bestFit="1" customWidth="1"/>
    <col min="3842" max="3842" width="4.7109375" style="331" bestFit="1" customWidth="1"/>
    <col min="3843" max="4084" width="8.85546875" style="331"/>
    <col min="4085" max="4085" width="10.7109375" style="331" bestFit="1" customWidth="1"/>
    <col min="4086" max="4097" width="14.7109375" style="331" bestFit="1" customWidth="1"/>
    <col min="4098" max="4098" width="4.7109375" style="331" bestFit="1" customWidth="1"/>
    <col min="4099" max="4340" width="8.85546875" style="331"/>
    <col min="4341" max="4341" width="10.7109375" style="331" bestFit="1" customWidth="1"/>
    <col min="4342" max="4353" width="14.7109375" style="331" bestFit="1" customWidth="1"/>
    <col min="4354" max="4354" width="4.7109375" style="331" bestFit="1" customWidth="1"/>
    <col min="4355" max="4596" width="8.85546875" style="331"/>
    <col min="4597" max="4597" width="10.7109375" style="331" bestFit="1" customWidth="1"/>
    <col min="4598" max="4609" width="14.7109375" style="331" bestFit="1" customWidth="1"/>
    <col min="4610" max="4610" width="4.7109375" style="331" bestFit="1" customWidth="1"/>
    <col min="4611" max="4852" width="8.85546875" style="331"/>
    <col min="4853" max="4853" width="10.7109375" style="331" bestFit="1" customWidth="1"/>
    <col min="4854" max="4865" width="14.7109375" style="331" bestFit="1" customWidth="1"/>
    <col min="4866" max="4866" width="4.7109375" style="331" bestFit="1" customWidth="1"/>
    <col min="4867" max="5108" width="8.85546875" style="331"/>
    <col min="5109" max="5109" width="10.7109375" style="331" bestFit="1" customWidth="1"/>
    <col min="5110" max="5121" width="14.7109375" style="331" bestFit="1" customWidth="1"/>
    <col min="5122" max="5122" width="4.7109375" style="331" bestFit="1" customWidth="1"/>
    <col min="5123" max="5364" width="8.85546875" style="331"/>
    <col min="5365" max="5365" width="10.7109375" style="331" bestFit="1" customWidth="1"/>
    <col min="5366" max="5377" width="14.7109375" style="331" bestFit="1" customWidth="1"/>
    <col min="5378" max="5378" width="4.7109375" style="331" bestFit="1" customWidth="1"/>
    <col min="5379" max="5620" width="8.85546875" style="331"/>
    <col min="5621" max="5621" width="10.7109375" style="331" bestFit="1" customWidth="1"/>
    <col min="5622" max="5633" width="14.7109375" style="331" bestFit="1" customWidth="1"/>
    <col min="5634" max="5634" width="4.7109375" style="331" bestFit="1" customWidth="1"/>
    <col min="5635" max="5876" width="8.85546875" style="331"/>
    <col min="5877" max="5877" width="10.7109375" style="331" bestFit="1" customWidth="1"/>
    <col min="5878" max="5889" width="14.7109375" style="331" bestFit="1" customWidth="1"/>
    <col min="5890" max="5890" width="4.7109375" style="331" bestFit="1" customWidth="1"/>
    <col min="5891" max="6132" width="8.85546875" style="331"/>
    <col min="6133" max="6133" width="10.7109375" style="331" bestFit="1" customWidth="1"/>
    <col min="6134" max="6145" width="14.7109375" style="331" bestFit="1" customWidth="1"/>
    <col min="6146" max="6146" width="4.7109375" style="331" bestFit="1" customWidth="1"/>
    <col min="6147" max="6388" width="8.85546875" style="331"/>
    <col min="6389" max="6389" width="10.7109375" style="331" bestFit="1" customWidth="1"/>
    <col min="6390" max="6401" width="14.7109375" style="331" bestFit="1" customWidth="1"/>
    <col min="6402" max="6402" width="4.7109375" style="331" bestFit="1" customWidth="1"/>
    <col min="6403" max="6644" width="8.85546875" style="331"/>
    <col min="6645" max="6645" width="10.7109375" style="331" bestFit="1" customWidth="1"/>
    <col min="6646" max="6657" width="14.7109375" style="331" bestFit="1" customWidth="1"/>
    <col min="6658" max="6658" width="4.7109375" style="331" bestFit="1" customWidth="1"/>
    <col min="6659" max="6900" width="8.85546875" style="331"/>
    <col min="6901" max="6901" width="10.7109375" style="331" bestFit="1" customWidth="1"/>
    <col min="6902" max="6913" width="14.7109375" style="331" bestFit="1" customWidth="1"/>
    <col min="6914" max="6914" width="4.7109375" style="331" bestFit="1" customWidth="1"/>
    <col min="6915" max="7156" width="8.85546875" style="331"/>
    <col min="7157" max="7157" width="10.7109375" style="331" bestFit="1" customWidth="1"/>
    <col min="7158" max="7169" width="14.7109375" style="331" bestFit="1" customWidth="1"/>
    <col min="7170" max="7170" width="4.7109375" style="331" bestFit="1" customWidth="1"/>
    <col min="7171" max="7412" width="8.85546875" style="331"/>
    <col min="7413" max="7413" width="10.7109375" style="331" bestFit="1" customWidth="1"/>
    <col min="7414" max="7425" width="14.7109375" style="331" bestFit="1" customWidth="1"/>
    <col min="7426" max="7426" width="4.7109375" style="331" bestFit="1" customWidth="1"/>
    <col min="7427" max="7668" width="8.85546875" style="331"/>
    <col min="7669" max="7669" width="10.7109375" style="331" bestFit="1" customWidth="1"/>
    <col min="7670" max="7681" width="14.7109375" style="331" bestFit="1" customWidth="1"/>
    <col min="7682" max="7682" width="4.7109375" style="331" bestFit="1" customWidth="1"/>
    <col min="7683" max="7924" width="8.85546875" style="331"/>
    <col min="7925" max="7925" width="10.7109375" style="331" bestFit="1" customWidth="1"/>
    <col min="7926" max="7937" width="14.7109375" style="331" bestFit="1" customWidth="1"/>
    <col min="7938" max="7938" width="4.7109375" style="331" bestFit="1" customWidth="1"/>
    <col min="7939" max="8180" width="8.85546875" style="331"/>
    <col min="8181" max="8181" width="10.7109375" style="331" bestFit="1" customWidth="1"/>
    <col min="8182" max="8193" width="14.7109375" style="331" bestFit="1" customWidth="1"/>
    <col min="8194" max="8194" width="4.7109375" style="331" bestFit="1" customWidth="1"/>
    <col min="8195" max="8436" width="8.85546875" style="331"/>
    <col min="8437" max="8437" width="10.7109375" style="331" bestFit="1" customWidth="1"/>
    <col min="8438" max="8449" width="14.7109375" style="331" bestFit="1" customWidth="1"/>
    <col min="8450" max="8450" width="4.7109375" style="331" bestFit="1" customWidth="1"/>
    <col min="8451" max="8692" width="8.85546875" style="331"/>
    <col min="8693" max="8693" width="10.7109375" style="331" bestFit="1" customWidth="1"/>
    <col min="8694" max="8705" width="14.7109375" style="331" bestFit="1" customWidth="1"/>
    <col min="8706" max="8706" width="4.7109375" style="331" bestFit="1" customWidth="1"/>
    <col min="8707" max="8948" width="8.85546875" style="331"/>
    <col min="8949" max="8949" width="10.7109375" style="331" bestFit="1" customWidth="1"/>
    <col min="8950" max="8961" width="14.7109375" style="331" bestFit="1" customWidth="1"/>
    <col min="8962" max="8962" width="4.7109375" style="331" bestFit="1" customWidth="1"/>
    <col min="8963" max="9204" width="8.85546875" style="331"/>
    <col min="9205" max="9205" width="10.7109375" style="331" bestFit="1" customWidth="1"/>
    <col min="9206" max="9217" width="14.7109375" style="331" bestFit="1" customWidth="1"/>
    <col min="9218" max="9218" width="4.7109375" style="331" bestFit="1" customWidth="1"/>
    <col min="9219" max="9460" width="8.85546875" style="331"/>
    <col min="9461" max="9461" width="10.7109375" style="331" bestFit="1" customWidth="1"/>
    <col min="9462" max="9473" width="14.7109375" style="331" bestFit="1" customWidth="1"/>
    <col min="9474" max="9474" width="4.7109375" style="331" bestFit="1" customWidth="1"/>
    <col min="9475" max="9716" width="8.85546875" style="331"/>
    <col min="9717" max="9717" width="10.7109375" style="331" bestFit="1" customWidth="1"/>
    <col min="9718" max="9729" width="14.7109375" style="331" bestFit="1" customWidth="1"/>
    <col min="9730" max="9730" width="4.7109375" style="331" bestFit="1" customWidth="1"/>
    <col min="9731" max="9972" width="8.85546875" style="331"/>
    <col min="9973" max="9973" width="10.7109375" style="331" bestFit="1" customWidth="1"/>
    <col min="9974" max="9985" width="14.7109375" style="331" bestFit="1" customWidth="1"/>
    <col min="9986" max="9986" width="4.7109375" style="331" bestFit="1" customWidth="1"/>
    <col min="9987" max="10228" width="8.85546875" style="331"/>
    <col min="10229" max="10229" width="10.7109375" style="331" bestFit="1" customWidth="1"/>
    <col min="10230" max="10241" width="14.7109375" style="331" bestFit="1" customWidth="1"/>
    <col min="10242" max="10242" width="4.7109375" style="331" bestFit="1" customWidth="1"/>
    <col min="10243" max="10484" width="8.85546875" style="331"/>
    <col min="10485" max="10485" width="10.7109375" style="331" bestFit="1" customWidth="1"/>
    <col min="10486" max="10497" width="14.7109375" style="331" bestFit="1" customWidth="1"/>
    <col min="10498" max="10498" width="4.7109375" style="331" bestFit="1" customWidth="1"/>
    <col min="10499" max="10740" width="8.85546875" style="331"/>
    <col min="10741" max="10741" width="10.7109375" style="331" bestFit="1" customWidth="1"/>
    <col min="10742" max="10753" width="14.7109375" style="331" bestFit="1" customWidth="1"/>
    <col min="10754" max="10754" width="4.7109375" style="331" bestFit="1" customWidth="1"/>
    <col min="10755" max="10996" width="8.85546875" style="331"/>
    <col min="10997" max="10997" width="10.7109375" style="331" bestFit="1" customWidth="1"/>
    <col min="10998" max="11009" width="14.7109375" style="331" bestFit="1" customWidth="1"/>
    <col min="11010" max="11010" width="4.7109375" style="331" bestFit="1" customWidth="1"/>
    <col min="11011" max="11252" width="8.85546875" style="331"/>
    <col min="11253" max="11253" width="10.7109375" style="331" bestFit="1" customWidth="1"/>
    <col min="11254" max="11265" width="14.7109375" style="331" bestFit="1" customWidth="1"/>
    <col min="11266" max="11266" width="4.7109375" style="331" bestFit="1" customWidth="1"/>
    <col min="11267" max="11508" width="8.85546875" style="331"/>
    <col min="11509" max="11509" width="10.7109375" style="331" bestFit="1" customWidth="1"/>
    <col min="11510" max="11521" width="14.7109375" style="331" bestFit="1" customWidth="1"/>
    <col min="11522" max="11522" width="4.7109375" style="331" bestFit="1" customWidth="1"/>
    <col min="11523" max="11764" width="8.85546875" style="331"/>
    <col min="11765" max="11765" width="10.7109375" style="331" bestFit="1" customWidth="1"/>
    <col min="11766" max="11777" width="14.7109375" style="331" bestFit="1" customWidth="1"/>
    <col min="11778" max="11778" width="4.7109375" style="331" bestFit="1" customWidth="1"/>
    <col min="11779" max="12020" width="8.85546875" style="331"/>
    <col min="12021" max="12021" width="10.7109375" style="331" bestFit="1" customWidth="1"/>
    <col min="12022" max="12033" width="14.7109375" style="331" bestFit="1" customWidth="1"/>
    <col min="12034" max="12034" width="4.7109375" style="331" bestFit="1" customWidth="1"/>
    <col min="12035" max="12276" width="8.85546875" style="331"/>
    <col min="12277" max="12277" width="10.7109375" style="331" bestFit="1" customWidth="1"/>
    <col min="12278" max="12289" width="14.7109375" style="331" bestFit="1" customWidth="1"/>
    <col min="12290" max="12290" width="4.7109375" style="331" bestFit="1" customWidth="1"/>
    <col min="12291" max="12532" width="8.85546875" style="331"/>
    <col min="12533" max="12533" width="10.7109375" style="331" bestFit="1" customWidth="1"/>
    <col min="12534" max="12545" width="14.7109375" style="331" bestFit="1" customWidth="1"/>
    <col min="12546" max="12546" width="4.7109375" style="331" bestFit="1" customWidth="1"/>
    <col min="12547" max="12788" width="8.85546875" style="331"/>
    <col min="12789" max="12789" width="10.7109375" style="331" bestFit="1" customWidth="1"/>
    <col min="12790" max="12801" width="14.7109375" style="331" bestFit="1" customWidth="1"/>
    <col min="12802" max="12802" width="4.7109375" style="331" bestFit="1" customWidth="1"/>
    <col min="12803" max="13044" width="8.85546875" style="331"/>
    <col min="13045" max="13045" width="10.7109375" style="331" bestFit="1" customWidth="1"/>
    <col min="13046" max="13057" width="14.7109375" style="331" bestFit="1" customWidth="1"/>
    <col min="13058" max="13058" width="4.7109375" style="331" bestFit="1" customWidth="1"/>
    <col min="13059" max="13300" width="8.85546875" style="331"/>
    <col min="13301" max="13301" width="10.7109375" style="331" bestFit="1" customWidth="1"/>
    <col min="13302" max="13313" width="14.7109375" style="331" bestFit="1" customWidth="1"/>
    <col min="13314" max="13314" width="4.7109375" style="331" bestFit="1" customWidth="1"/>
    <col min="13315" max="13556" width="8.85546875" style="331"/>
    <col min="13557" max="13557" width="10.7109375" style="331" bestFit="1" customWidth="1"/>
    <col min="13558" max="13569" width="14.7109375" style="331" bestFit="1" customWidth="1"/>
    <col min="13570" max="13570" width="4.7109375" style="331" bestFit="1" customWidth="1"/>
    <col min="13571" max="13812" width="8.85546875" style="331"/>
    <col min="13813" max="13813" width="10.7109375" style="331" bestFit="1" customWidth="1"/>
    <col min="13814" max="13825" width="14.7109375" style="331" bestFit="1" customWidth="1"/>
    <col min="13826" max="13826" width="4.7109375" style="331" bestFit="1" customWidth="1"/>
    <col min="13827" max="14068" width="8.85546875" style="331"/>
    <col min="14069" max="14069" width="10.7109375" style="331" bestFit="1" customWidth="1"/>
    <col min="14070" max="14081" width="14.7109375" style="331" bestFit="1" customWidth="1"/>
    <col min="14082" max="14082" width="4.7109375" style="331" bestFit="1" customWidth="1"/>
    <col min="14083" max="14324" width="8.85546875" style="331"/>
    <col min="14325" max="14325" width="10.7109375" style="331" bestFit="1" customWidth="1"/>
    <col min="14326" max="14337" width="14.7109375" style="331" bestFit="1" customWidth="1"/>
    <col min="14338" max="14338" width="4.7109375" style="331" bestFit="1" customWidth="1"/>
    <col min="14339" max="14580" width="8.85546875" style="331"/>
    <col min="14581" max="14581" width="10.7109375" style="331" bestFit="1" customWidth="1"/>
    <col min="14582" max="14593" width="14.7109375" style="331" bestFit="1" customWidth="1"/>
    <col min="14594" max="14594" width="4.7109375" style="331" bestFit="1" customWidth="1"/>
    <col min="14595" max="14836" width="8.85546875" style="331"/>
    <col min="14837" max="14837" width="10.7109375" style="331" bestFit="1" customWidth="1"/>
    <col min="14838" max="14849" width="14.7109375" style="331" bestFit="1" customWidth="1"/>
    <col min="14850" max="14850" width="4.7109375" style="331" bestFit="1" customWidth="1"/>
    <col min="14851" max="15092" width="8.85546875" style="331"/>
    <col min="15093" max="15093" width="10.7109375" style="331" bestFit="1" customWidth="1"/>
    <col min="15094" max="15105" width="14.7109375" style="331" bestFit="1" customWidth="1"/>
    <col min="15106" max="15106" width="4.7109375" style="331" bestFit="1" customWidth="1"/>
    <col min="15107" max="15348" width="8.85546875" style="331"/>
    <col min="15349" max="15349" width="10.7109375" style="331" bestFit="1" customWidth="1"/>
    <col min="15350" max="15361" width="14.7109375" style="331" bestFit="1" customWidth="1"/>
    <col min="15362" max="15362" width="4.7109375" style="331" bestFit="1" customWidth="1"/>
    <col min="15363" max="15604" width="8.85546875" style="331"/>
    <col min="15605" max="15605" width="10.7109375" style="331" bestFit="1" customWidth="1"/>
    <col min="15606" max="15617" width="14.7109375" style="331" bestFit="1" customWidth="1"/>
    <col min="15618" max="15618" width="4.7109375" style="331" bestFit="1" customWidth="1"/>
    <col min="15619" max="15860" width="8.85546875" style="331"/>
    <col min="15861" max="15861" width="10.7109375" style="331" bestFit="1" customWidth="1"/>
    <col min="15862" max="15873" width="14.7109375" style="331" bestFit="1" customWidth="1"/>
    <col min="15874" max="15874" width="4.7109375" style="331" bestFit="1" customWidth="1"/>
    <col min="15875" max="16116" width="8.85546875" style="331"/>
    <col min="16117" max="16117" width="10.7109375" style="331" bestFit="1" customWidth="1"/>
    <col min="16118" max="16129" width="14.7109375" style="331" bestFit="1" customWidth="1"/>
    <col min="16130" max="16130" width="4.7109375" style="331" bestFit="1" customWidth="1"/>
    <col min="16131" max="16384" width="8.85546875" style="331"/>
  </cols>
  <sheetData>
    <row r="1" spans="1:13">
      <c r="A1" s="1258" t="s">
        <v>91</v>
      </c>
      <c r="B1" s="1258"/>
      <c r="C1" s="1258"/>
      <c r="D1" s="1258"/>
      <c r="E1" s="1258"/>
      <c r="F1" s="1258"/>
      <c r="G1" s="1258"/>
      <c r="H1" s="1258"/>
      <c r="I1" s="1258"/>
      <c r="J1" s="1258"/>
      <c r="K1" s="1258"/>
      <c r="L1" s="1258"/>
      <c r="M1" s="1258"/>
    </row>
    <row r="2" spans="1:13" s="332" customFormat="1">
      <c r="A2" s="1259" t="s">
        <v>92</v>
      </c>
      <c r="B2" s="1261" t="s">
        <v>93</v>
      </c>
      <c r="C2" s="1262"/>
      <c r="D2" s="1262"/>
      <c r="E2" s="1262"/>
      <c r="F2" s="1262"/>
      <c r="G2" s="1262"/>
      <c r="H2" s="1262"/>
      <c r="I2" s="1263"/>
      <c r="J2" s="1264" t="s">
        <v>94</v>
      </c>
      <c r="K2" s="1265"/>
      <c r="L2" s="1264" t="s">
        <v>53</v>
      </c>
      <c r="M2" s="1265"/>
    </row>
    <row r="3" spans="1:13" s="332" customFormat="1">
      <c r="A3" s="1260"/>
      <c r="B3" s="1261" t="s">
        <v>95</v>
      </c>
      <c r="C3" s="1263"/>
      <c r="D3" s="1261" t="s">
        <v>96</v>
      </c>
      <c r="E3" s="1263"/>
      <c r="F3" s="1261" t="s">
        <v>97</v>
      </c>
      <c r="G3" s="1263"/>
      <c r="H3" s="1261" t="s">
        <v>98</v>
      </c>
      <c r="I3" s="1263"/>
      <c r="J3" s="1266"/>
      <c r="K3" s="1267"/>
      <c r="L3" s="1266"/>
      <c r="M3" s="1267"/>
    </row>
    <row r="4" spans="1:13" s="332" customFormat="1" ht="30">
      <c r="A4" s="650" t="s">
        <v>99</v>
      </c>
      <c r="B4" s="651" t="s">
        <v>71</v>
      </c>
      <c r="C4" s="652" t="s">
        <v>280</v>
      </c>
      <c r="D4" s="651" t="s">
        <v>71</v>
      </c>
      <c r="E4" s="652" t="s">
        <v>280</v>
      </c>
      <c r="F4" s="651" t="s">
        <v>71</v>
      </c>
      <c r="G4" s="652" t="s">
        <v>400</v>
      </c>
      <c r="H4" s="651" t="s">
        <v>71</v>
      </c>
      <c r="I4" s="652" t="s">
        <v>280</v>
      </c>
      <c r="J4" s="651" t="s">
        <v>71</v>
      </c>
      <c r="K4" s="652" t="s">
        <v>400</v>
      </c>
      <c r="L4" s="651" t="s">
        <v>71</v>
      </c>
      <c r="M4" s="652" t="s">
        <v>400</v>
      </c>
    </row>
    <row r="5" spans="1:13" s="333" customFormat="1">
      <c r="A5" s="650" t="s">
        <v>58</v>
      </c>
      <c r="B5" s="653">
        <v>315</v>
      </c>
      <c r="C5" s="654">
        <v>1895046.59</v>
      </c>
      <c r="D5" s="653">
        <f>308+2</f>
        <v>310</v>
      </c>
      <c r="E5" s="654">
        <f>194418.72+1600</f>
        <v>196018.72</v>
      </c>
      <c r="F5" s="653">
        <v>278</v>
      </c>
      <c r="G5" s="653">
        <v>40357.379999999997</v>
      </c>
      <c r="H5" s="653">
        <f>200+2</f>
        <v>202</v>
      </c>
      <c r="I5" s="653">
        <f>31405.885+1294</f>
        <v>32699.884999999998</v>
      </c>
      <c r="J5" s="653">
        <f>44+2</f>
        <v>46</v>
      </c>
      <c r="K5" s="653">
        <f>10059.96+450</f>
        <v>10509.96</v>
      </c>
      <c r="L5" s="653">
        <f>1145+6</f>
        <v>1151</v>
      </c>
      <c r="M5" s="654">
        <f>2171738.535+3344</f>
        <v>2175082.5350000001</v>
      </c>
    </row>
    <row r="6" spans="1:13" s="333" customFormat="1">
      <c r="A6" s="334" t="s">
        <v>61</v>
      </c>
      <c r="B6" s="335">
        <f>SUM(B7:B17)</f>
        <v>232</v>
      </c>
      <c r="C6" s="335">
        <f>SUM(C7:C17)</f>
        <v>1743649.4000000001</v>
      </c>
      <c r="D6" s="335">
        <f t="shared" ref="D6:M6" si="0">SUM(D7:D17)</f>
        <v>405</v>
      </c>
      <c r="E6" s="335">
        <f t="shared" si="0"/>
        <v>307062.96000000008</v>
      </c>
      <c r="F6" s="335">
        <f t="shared" si="0"/>
        <v>283</v>
      </c>
      <c r="G6" s="335">
        <f t="shared" si="0"/>
        <v>46554.569999999992</v>
      </c>
      <c r="H6" s="335">
        <f t="shared" si="0"/>
        <v>175</v>
      </c>
      <c r="I6" s="335">
        <f t="shared" si="0"/>
        <v>38319.707599999994</v>
      </c>
      <c r="J6" s="335">
        <f t="shared" si="0"/>
        <v>59</v>
      </c>
      <c r="K6" s="335">
        <f t="shared" si="0"/>
        <v>11508.7</v>
      </c>
      <c r="L6" s="335">
        <f t="shared" si="0"/>
        <v>1153</v>
      </c>
      <c r="M6" s="335">
        <f t="shared" si="0"/>
        <v>2147094.8600000003</v>
      </c>
    </row>
    <row r="7" spans="1:13" s="332" customFormat="1">
      <c r="A7" s="655" t="s">
        <v>60</v>
      </c>
      <c r="B7" s="656">
        <v>25</v>
      </c>
      <c r="C7" s="657">
        <v>540951.9</v>
      </c>
      <c r="D7" s="656">
        <v>28</v>
      </c>
      <c r="E7" s="656">
        <v>52120.9</v>
      </c>
      <c r="F7" s="656">
        <v>11</v>
      </c>
      <c r="G7" s="656">
        <v>5075</v>
      </c>
      <c r="H7" s="656">
        <v>5</v>
      </c>
      <c r="I7" s="656">
        <v>1630.19</v>
      </c>
      <c r="J7" s="656">
        <f>2+3</f>
        <v>5</v>
      </c>
      <c r="K7" s="656">
        <f>535+400</f>
        <v>935</v>
      </c>
      <c r="L7" s="656">
        <f>71+3</f>
        <v>74</v>
      </c>
      <c r="M7" s="657">
        <f>600312.99+400</f>
        <v>600712.99</v>
      </c>
    </row>
    <row r="8" spans="1:13" s="332" customFormat="1">
      <c r="A8" s="655" t="s">
        <v>59</v>
      </c>
      <c r="B8" s="656">
        <v>17</v>
      </c>
      <c r="C8" s="656">
        <v>76524.42</v>
      </c>
      <c r="D8" s="656">
        <v>38</v>
      </c>
      <c r="E8" s="656">
        <v>19249.330000000002</v>
      </c>
      <c r="F8" s="656">
        <f>21+2</f>
        <v>23</v>
      </c>
      <c r="G8" s="656">
        <f>5426.38+600</f>
        <v>6026.38</v>
      </c>
      <c r="H8" s="656">
        <f>7+1</f>
        <v>8</v>
      </c>
      <c r="I8" s="656">
        <f>620+350</f>
        <v>970</v>
      </c>
      <c r="J8" s="656">
        <v>1</v>
      </c>
      <c r="K8" s="656">
        <v>100</v>
      </c>
      <c r="L8" s="656">
        <f>84+3</f>
        <v>87</v>
      </c>
      <c r="M8" s="659">
        <v>102870.13</v>
      </c>
    </row>
    <row r="9" spans="1:13" s="332" customFormat="1">
      <c r="A9" s="655" t="s">
        <v>310</v>
      </c>
      <c r="B9" s="656">
        <v>30</v>
      </c>
      <c r="C9" s="656">
        <v>49056.53</v>
      </c>
      <c r="D9" s="656">
        <f>43+1</f>
        <v>44</v>
      </c>
      <c r="E9" s="656">
        <f>33536.16+225</f>
        <v>33761.160000000003</v>
      </c>
      <c r="F9" s="656">
        <v>36</v>
      </c>
      <c r="G9" s="656">
        <v>4757.08</v>
      </c>
      <c r="H9" s="656">
        <f>27+1</f>
        <v>28</v>
      </c>
      <c r="I9" s="656">
        <f>19665.78+25</f>
        <v>19690.78</v>
      </c>
      <c r="J9" s="656">
        <v>0</v>
      </c>
      <c r="K9" s="656">
        <v>0</v>
      </c>
      <c r="L9" s="656">
        <f>136+2</f>
        <v>138</v>
      </c>
      <c r="M9" s="657">
        <f>107015.55+250</f>
        <v>107265.55</v>
      </c>
    </row>
    <row r="10" spans="1:13" s="332" customFormat="1">
      <c r="A10" s="655" t="s">
        <v>356</v>
      </c>
      <c r="B10" s="656">
        <v>23</v>
      </c>
      <c r="C10" s="657">
        <v>115681.76</v>
      </c>
      <c r="D10" s="656">
        <v>41</v>
      </c>
      <c r="E10" s="656">
        <v>16437.48</v>
      </c>
      <c r="F10" s="656">
        <v>22</v>
      </c>
      <c r="G10" s="656">
        <v>2665.11</v>
      </c>
      <c r="H10" s="656">
        <f>22+1</f>
        <v>23</v>
      </c>
      <c r="I10" s="656">
        <f>866.59+50</f>
        <v>916.59</v>
      </c>
      <c r="J10" s="656">
        <v>7</v>
      </c>
      <c r="K10" s="656">
        <v>352</v>
      </c>
      <c r="L10" s="656">
        <f>115+1</f>
        <v>116</v>
      </c>
      <c r="M10" s="657">
        <f>136003.02+50</f>
        <v>136053.01999999999</v>
      </c>
    </row>
    <row r="11" spans="1:13" s="332" customFormat="1">
      <c r="A11" s="655" t="s">
        <v>384</v>
      </c>
      <c r="B11" s="656">
        <v>18</v>
      </c>
      <c r="C11" s="657">
        <v>148303.47</v>
      </c>
      <c r="D11" s="656">
        <v>24</v>
      </c>
      <c r="E11" s="656">
        <v>25639.17</v>
      </c>
      <c r="F11" s="656">
        <v>32</v>
      </c>
      <c r="G11" s="656">
        <v>6989.12</v>
      </c>
      <c r="H11" s="656">
        <f>17+1</f>
        <v>18</v>
      </c>
      <c r="I11" s="656">
        <f>3401.9+100</f>
        <v>3501.9</v>
      </c>
      <c r="J11" s="656">
        <f>3+1</f>
        <v>4</v>
      </c>
      <c r="K11" s="656">
        <f>167+20</f>
        <v>187</v>
      </c>
      <c r="L11" s="656">
        <f>94+2</f>
        <v>96</v>
      </c>
      <c r="M11" s="657">
        <f>184500.66+120</f>
        <v>184620.66</v>
      </c>
    </row>
    <row r="12" spans="1:13" s="332" customFormat="1">
      <c r="A12" s="658">
        <v>44075</v>
      </c>
      <c r="B12" s="656">
        <v>34</v>
      </c>
      <c r="C12" s="657">
        <v>357648.64000000001</v>
      </c>
      <c r="D12" s="656">
        <v>63</v>
      </c>
      <c r="E12" s="656">
        <v>58608.86</v>
      </c>
      <c r="F12" s="656">
        <v>34</v>
      </c>
      <c r="G12" s="656">
        <v>5034.5200000000004</v>
      </c>
      <c r="H12" s="656">
        <v>17</v>
      </c>
      <c r="I12" s="656">
        <v>2227.8200000000002</v>
      </c>
      <c r="J12" s="656">
        <f>7+3</f>
        <v>10</v>
      </c>
      <c r="K12" s="656">
        <f>2544.05+435</f>
        <v>2979.05</v>
      </c>
      <c r="L12" s="656">
        <f>155+3</f>
        <v>158</v>
      </c>
      <c r="M12" s="657">
        <f>426063.89+435</f>
        <v>426498.89</v>
      </c>
    </row>
    <row r="13" spans="1:13" s="332" customFormat="1">
      <c r="A13" s="658" t="s">
        <v>392</v>
      </c>
      <c r="B13" s="656">
        <v>22</v>
      </c>
      <c r="C13" s="656">
        <v>64275.07</v>
      </c>
      <c r="D13" s="656">
        <v>35</v>
      </c>
      <c r="E13" s="656">
        <v>21266.639999999999</v>
      </c>
      <c r="F13" s="656">
        <v>10</v>
      </c>
      <c r="G13" s="656">
        <v>1254.93</v>
      </c>
      <c r="H13" s="656">
        <v>10</v>
      </c>
      <c r="I13" s="656">
        <v>772.91</v>
      </c>
      <c r="J13" s="656">
        <f>10+1</f>
        <v>11</v>
      </c>
      <c r="K13" s="656">
        <f>1687.65+199</f>
        <v>1886.65</v>
      </c>
      <c r="L13" s="656">
        <f>87+1</f>
        <v>88</v>
      </c>
      <c r="M13" s="656">
        <f>89257.2+199</f>
        <v>89456.2</v>
      </c>
    </row>
    <row r="14" spans="1:13" s="332" customFormat="1">
      <c r="A14" s="655" t="s">
        <v>396</v>
      </c>
      <c r="B14" s="656">
        <v>10</v>
      </c>
      <c r="C14" s="656">
        <v>26880</v>
      </c>
      <c r="D14" s="656">
        <f>45+1</f>
        <v>46</v>
      </c>
      <c r="E14" s="656">
        <f>29140+25</f>
        <v>29165</v>
      </c>
      <c r="F14" s="656">
        <v>30</v>
      </c>
      <c r="G14" s="656">
        <v>3126.89</v>
      </c>
      <c r="H14" s="656">
        <f>18+1</f>
        <v>19</v>
      </c>
      <c r="I14" s="656">
        <f>1707.55+20</f>
        <v>1727.55</v>
      </c>
      <c r="J14" s="656">
        <f>4+1</f>
        <v>5</v>
      </c>
      <c r="K14" s="656">
        <f>755+123</f>
        <v>878</v>
      </c>
      <c r="L14" s="656">
        <f>107+3</f>
        <v>110</v>
      </c>
      <c r="M14" s="656">
        <f>61609.28+168</f>
        <v>61777.279999999999</v>
      </c>
    </row>
    <row r="15" spans="1:13" s="332" customFormat="1">
      <c r="A15" s="655" t="s">
        <v>457</v>
      </c>
      <c r="B15" s="656">
        <v>20</v>
      </c>
      <c r="C15" s="656">
        <v>142417.66</v>
      </c>
      <c r="D15" s="656">
        <v>39</v>
      </c>
      <c r="E15" s="656">
        <v>14546.529999999999</v>
      </c>
      <c r="F15" s="656">
        <v>56</v>
      </c>
      <c r="G15" s="656">
        <v>7649.35</v>
      </c>
      <c r="H15" s="656">
        <v>22</v>
      </c>
      <c r="I15" s="656">
        <v>2317.31</v>
      </c>
      <c r="J15" s="656">
        <v>7</v>
      </c>
      <c r="K15" s="656">
        <v>1584</v>
      </c>
      <c r="L15" s="656">
        <v>143</v>
      </c>
      <c r="M15" s="656">
        <v>168514.84999999998</v>
      </c>
    </row>
    <row r="16" spans="1:13" s="332" customFormat="1">
      <c r="A16" s="658">
        <v>44197</v>
      </c>
      <c r="B16" s="656">
        <v>11</v>
      </c>
      <c r="C16" s="656">
        <v>57615.95</v>
      </c>
      <c r="D16" s="656">
        <v>13</v>
      </c>
      <c r="E16" s="656">
        <v>11920.64</v>
      </c>
      <c r="F16" s="656">
        <v>14</v>
      </c>
      <c r="G16" s="656">
        <v>2216.91</v>
      </c>
      <c r="H16" s="656">
        <v>13</v>
      </c>
      <c r="I16" s="656">
        <v>4127.13</v>
      </c>
      <c r="J16" s="656">
        <v>4</v>
      </c>
      <c r="K16" s="656">
        <v>470</v>
      </c>
      <c r="L16" s="656">
        <v>55</v>
      </c>
      <c r="M16" s="656">
        <v>76350.23</v>
      </c>
    </row>
    <row r="17" spans="1:13" s="332" customFormat="1">
      <c r="A17" s="658">
        <v>44228</v>
      </c>
      <c r="B17" s="656">
        <v>22</v>
      </c>
      <c r="C17" s="656">
        <v>164294</v>
      </c>
      <c r="D17" s="656">
        <v>34</v>
      </c>
      <c r="E17" s="656">
        <v>24347.25</v>
      </c>
      <c r="F17" s="656">
        <v>15</v>
      </c>
      <c r="G17" s="656">
        <v>1759.28</v>
      </c>
      <c r="H17" s="656">
        <v>12</v>
      </c>
      <c r="I17" s="656">
        <v>437.52760000000001</v>
      </c>
      <c r="J17" s="656">
        <v>5</v>
      </c>
      <c r="K17" s="656">
        <v>2137</v>
      </c>
      <c r="L17" s="656">
        <v>88</v>
      </c>
      <c r="M17" s="656">
        <v>192975.06</v>
      </c>
    </row>
    <row r="18" spans="1:13" s="332" customFormat="1">
      <c r="A18" s="336" t="s">
        <v>354</v>
      </c>
      <c r="B18" s="337"/>
      <c r="C18" s="337"/>
      <c r="D18" s="337"/>
      <c r="E18" s="337"/>
      <c r="F18" s="337"/>
    </row>
    <row r="19" spans="1:13" s="332" customFormat="1">
      <c r="A19" s="336" t="s">
        <v>500</v>
      </c>
      <c r="B19" s="337"/>
      <c r="C19" s="337"/>
      <c r="D19" s="337"/>
      <c r="E19" s="337"/>
      <c r="F19" s="337"/>
    </row>
    <row r="20" spans="1:13" s="332" customFormat="1">
      <c r="A20" s="1257" t="s">
        <v>1173</v>
      </c>
      <c r="B20" s="1257"/>
      <c r="C20" s="1257"/>
      <c r="D20" s="1257"/>
      <c r="E20" s="1257"/>
      <c r="F20" s="1257"/>
    </row>
    <row r="21" spans="1:13" s="332" customFormat="1">
      <c r="A21" s="1257" t="s">
        <v>100</v>
      </c>
      <c r="B21" s="1257"/>
      <c r="C21" s="1257"/>
      <c r="D21" s="1257"/>
      <c r="E21" s="1257"/>
      <c r="F21" s="1257"/>
    </row>
  </sheetData>
  <mergeCells count="11">
    <mergeCell ref="A20:F20"/>
    <mergeCell ref="A21:F21"/>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0"/>
  <sheetViews>
    <sheetView workbookViewId="0">
      <selection activeCell="D5" sqref="D5:M5"/>
    </sheetView>
  </sheetViews>
  <sheetFormatPr defaultColWidth="8.85546875" defaultRowHeight="15"/>
  <cols>
    <col min="1" max="10" width="14.7109375" style="1" bestFit="1" customWidth="1"/>
    <col min="11" max="11" width="16.28515625" style="1" bestFit="1" customWidth="1"/>
    <col min="12" max="13" width="14.7109375" style="1" bestFit="1" customWidth="1"/>
    <col min="14" max="14" width="5.28515625" style="1" bestFit="1" customWidth="1"/>
    <col min="15" max="220" width="8.85546875" style="1"/>
    <col min="221" max="233" width="14.7109375" style="1" bestFit="1" customWidth="1"/>
    <col min="234" max="234" width="5.28515625" style="1" bestFit="1" customWidth="1"/>
    <col min="235" max="476" width="8.85546875" style="1"/>
    <col min="477" max="489" width="14.7109375" style="1" bestFit="1" customWidth="1"/>
    <col min="490" max="490" width="5.28515625" style="1" bestFit="1" customWidth="1"/>
    <col min="491" max="732" width="8.85546875" style="1"/>
    <col min="733" max="745" width="14.7109375" style="1" bestFit="1" customWidth="1"/>
    <col min="746" max="746" width="5.28515625" style="1" bestFit="1" customWidth="1"/>
    <col min="747" max="988" width="8.85546875" style="1"/>
    <col min="989" max="1001" width="14.7109375" style="1" bestFit="1" customWidth="1"/>
    <col min="1002" max="1002" width="5.28515625" style="1" bestFit="1" customWidth="1"/>
    <col min="1003" max="1244" width="8.85546875" style="1"/>
    <col min="1245" max="1257" width="14.7109375" style="1" bestFit="1" customWidth="1"/>
    <col min="1258" max="1258" width="5.28515625" style="1" bestFit="1" customWidth="1"/>
    <col min="1259" max="1500" width="8.85546875" style="1"/>
    <col min="1501" max="1513" width="14.7109375" style="1" bestFit="1" customWidth="1"/>
    <col min="1514" max="1514" width="5.28515625" style="1" bestFit="1" customWidth="1"/>
    <col min="1515" max="1756" width="8.85546875" style="1"/>
    <col min="1757" max="1769" width="14.7109375" style="1" bestFit="1" customWidth="1"/>
    <col min="1770" max="1770" width="5.28515625" style="1" bestFit="1" customWidth="1"/>
    <col min="1771" max="2012" width="8.85546875" style="1"/>
    <col min="2013" max="2025" width="14.7109375" style="1" bestFit="1" customWidth="1"/>
    <col min="2026" max="2026" width="5.28515625" style="1" bestFit="1" customWidth="1"/>
    <col min="2027" max="2268" width="8.85546875" style="1"/>
    <col min="2269" max="2281" width="14.7109375" style="1" bestFit="1" customWidth="1"/>
    <col min="2282" max="2282" width="5.28515625" style="1" bestFit="1" customWidth="1"/>
    <col min="2283" max="2524" width="8.85546875" style="1"/>
    <col min="2525" max="2537" width="14.7109375" style="1" bestFit="1" customWidth="1"/>
    <col min="2538" max="2538" width="5.28515625" style="1" bestFit="1" customWidth="1"/>
    <col min="2539" max="2780" width="8.85546875" style="1"/>
    <col min="2781" max="2793" width="14.7109375" style="1" bestFit="1" customWidth="1"/>
    <col min="2794" max="2794" width="5.28515625" style="1" bestFit="1" customWidth="1"/>
    <col min="2795" max="3036" width="8.85546875" style="1"/>
    <col min="3037" max="3049" width="14.7109375" style="1" bestFit="1" customWidth="1"/>
    <col min="3050" max="3050" width="5.28515625" style="1" bestFit="1" customWidth="1"/>
    <col min="3051" max="3292" width="8.85546875" style="1"/>
    <col min="3293" max="3305" width="14.7109375" style="1" bestFit="1" customWidth="1"/>
    <col min="3306" max="3306" width="5.28515625" style="1" bestFit="1" customWidth="1"/>
    <col min="3307" max="3548" width="8.85546875" style="1"/>
    <col min="3549" max="3561" width="14.7109375" style="1" bestFit="1" customWidth="1"/>
    <col min="3562" max="3562" width="5.28515625" style="1" bestFit="1" customWidth="1"/>
    <col min="3563" max="3804" width="8.85546875" style="1"/>
    <col min="3805" max="3817" width="14.7109375" style="1" bestFit="1" customWidth="1"/>
    <col min="3818" max="3818" width="5.28515625" style="1" bestFit="1" customWidth="1"/>
    <col min="3819" max="4060" width="8.85546875" style="1"/>
    <col min="4061" max="4073" width="14.7109375" style="1" bestFit="1" customWidth="1"/>
    <col min="4074" max="4074" width="5.28515625" style="1" bestFit="1" customWidth="1"/>
    <col min="4075" max="4316" width="8.85546875" style="1"/>
    <col min="4317" max="4329" width="14.7109375" style="1" bestFit="1" customWidth="1"/>
    <col min="4330" max="4330" width="5.28515625" style="1" bestFit="1" customWidth="1"/>
    <col min="4331" max="4572" width="8.85546875" style="1"/>
    <col min="4573" max="4585" width="14.7109375" style="1" bestFit="1" customWidth="1"/>
    <col min="4586" max="4586" width="5.28515625" style="1" bestFit="1" customWidth="1"/>
    <col min="4587" max="4828" width="8.85546875" style="1"/>
    <col min="4829" max="4841" width="14.7109375" style="1" bestFit="1" customWidth="1"/>
    <col min="4842" max="4842" width="5.28515625" style="1" bestFit="1" customWidth="1"/>
    <col min="4843" max="5084" width="8.85546875" style="1"/>
    <col min="5085" max="5097" width="14.7109375" style="1" bestFit="1" customWidth="1"/>
    <col min="5098" max="5098" width="5.28515625" style="1" bestFit="1" customWidth="1"/>
    <col min="5099" max="5340" width="8.85546875" style="1"/>
    <col min="5341" max="5353" width="14.7109375" style="1" bestFit="1" customWidth="1"/>
    <col min="5354" max="5354" width="5.28515625" style="1" bestFit="1" customWidth="1"/>
    <col min="5355" max="5596" width="8.85546875" style="1"/>
    <col min="5597" max="5609" width="14.7109375" style="1" bestFit="1" customWidth="1"/>
    <col min="5610" max="5610" width="5.28515625" style="1" bestFit="1" customWidth="1"/>
    <col min="5611" max="5852" width="8.85546875" style="1"/>
    <col min="5853" max="5865" width="14.7109375" style="1" bestFit="1" customWidth="1"/>
    <col min="5866" max="5866" width="5.28515625" style="1" bestFit="1" customWidth="1"/>
    <col min="5867" max="6108" width="8.85546875" style="1"/>
    <col min="6109" max="6121" width="14.7109375" style="1" bestFit="1" customWidth="1"/>
    <col min="6122" max="6122" width="5.28515625" style="1" bestFit="1" customWidth="1"/>
    <col min="6123" max="6364" width="8.85546875" style="1"/>
    <col min="6365" max="6377" width="14.7109375" style="1" bestFit="1" customWidth="1"/>
    <col min="6378" max="6378" width="5.28515625" style="1" bestFit="1" customWidth="1"/>
    <col min="6379" max="6620" width="8.85546875" style="1"/>
    <col min="6621" max="6633" width="14.7109375" style="1" bestFit="1" customWidth="1"/>
    <col min="6634" max="6634" width="5.28515625" style="1" bestFit="1" customWidth="1"/>
    <col min="6635" max="6876" width="8.85546875" style="1"/>
    <col min="6877" max="6889" width="14.7109375" style="1" bestFit="1" customWidth="1"/>
    <col min="6890" max="6890" width="5.28515625" style="1" bestFit="1" customWidth="1"/>
    <col min="6891" max="7132" width="8.85546875" style="1"/>
    <col min="7133" max="7145" width="14.7109375" style="1" bestFit="1" customWidth="1"/>
    <col min="7146" max="7146" width="5.28515625" style="1" bestFit="1" customWidth="1"/>
    <col min="7147" max="7388" width="8.85546875" style="1"/>
    <col min="7389" max="7401" width="14.7109375" style="1" bestFit="1" customWidth="1"/>
    <col min="7402" max="7402" width="5.28515625" style="1" bestFit="1" customWidth="1"/>
    <col min="7403" max="7644" width="8.85546875" style="1"/>
    <col min="7645" max="7657" width="14.7109375" style="1" bestFit="1" customWidth="1"/>
    <col min="7658" max="7658" width="5.28515625" style="1" bestFit="1" customWidth="1"/>
    <col min="7659" max="7900" width="8.85546875" style="1"/>
    <col min="7901" max="7913" width="14.7109375" style="1" bestFit="1" customWidth="1"/>
    <col min="7914" max="7914" width="5.28515625" style="1" bestFit="1" customWidth="1"/>
    <col min="7915" max="8156" width="8.85546875" style="1"/>
    <col min="8157" max="8169" width="14.7109375" style="1" bestFit="1" customWidth="1"/>
    <col min="8170" max="8170" width="5.28515625" style="1" bestFit="1" customWidth="1"/>
    <col min="8171" max="8412" width="8.85546875" style="1"/>
    <col min="8413" max="8425" width="14.7109375" style="1" bestFit="1" customWidth="1"/>
    <col min="8426" max="8426" width="5.28515625" style="1" bestFit="1" customWidth="1"/>
    <col min="8427" max="8668" width="8.85546875" style="1"/>
    <col min="8669" max="8681" width="14.7109375" style="1" bestFit="1" customWidth="1"/>
    <col min="8682" max="8682" width="5.28515625" style="1" bestFit="1" customWidth="1"/>
    <col min="8683" max="8924" width="8.85546875" style="1"/>
    <col min="8925" max="8937" width="14.7109375" style="1" bestFit="1" customWidth="1"/>
    <col min="8938" max="8938" width="5.28515625" style="1" bestFit="1" customWidth="1"/>
    <col min="8939" max="9180" width="8.85546875" style="1"/>
    <col min="9181" max="9193" width="14.7109375" style="1" bestFit="1" customWidth="1"/>
    <col min="9194" max="9194" width="5.28515625" style="1" bestFit="1" customWidth="1"/>
    <col min="9195" max="9436" width="8.85546875" style="1"/>
    <col min="9437" max="9449" width="14.7109375" style="1" bestFit="1" customWidth="1"/>
    <col min="9450" max="9450" width="5.28515625" style="1" bestFit="1" customWidth="1"/>
    <col min="9451" max="9692" width="8.85546875" style="1"/>
    <col min="9693" max="9705" width="14.7109375" style="1" bestFit="1" customWidth="1"/>
    <col min="9706" max="9706" width="5.28515625" style="1" bestFit="1" customWidth="1"/>
    <col min="9707" max="9948" width="8.85546875" style="1"/>
    <col min="9949" max="9961" width="14.7109375" style="1" bestFit="1" customWidth="1"/>
    <col min="9962" max="9962" width="5.28515625" style="1" bestFit="1" customWidth="1"/>
    <col min="9963" max="10204" width="8.85546875" style="1"/>
    <col min="10205" max="10217" width="14.7109375" style="1" bestFit="1" customWidth="1"/>
    <col min="10218" max="10218" width="5.28515625" style="1" bestFit="1" customWidth="1"/>
    <col min="10219" max="10460" width="8.85546875" style="1"/>
    <col min="10461" max="10473" width="14.7109375" style="1" bestFit="1" customWidth="1"/>
    <col min="10474" max="10474" width="5.28515625" style="1" bestFit="1" customWidth="1"/>
    <col min="10475" max="10716" width="8.85546875" style="1"/>
    <col min="10717" max="10729" width="14.7109375" style="1" bestFit="1" customWidth="1"/>
    <col min="10730" max="10730" width="5.28515625" style="1" bestFit="1" customWidth="1"/>
    <col min="10731" max="10972" width="8.85546875" style="1"/>
    <col min="10973" max="10985" width="14.7109375" style="1" bestFit="1" customWidth="1"/>
    <col min="10986" max="10986" width="5.28515625" style="1" bestFit="1" customWidth="1"/>
    <col min="10987" max="11228" width="8.85546875" style="1"/>
    <col min="11229" max="11241" width="14.7109375" style="1" bestFit="1" customWidth="1"/>
    <col min="11242" max="11242" width="5.28515625" style="1" bestFit="1" customWidth="1"/>
    <col min="11243" max="11484" width="8.85546875" style="1"/>
    <col min="11485" max="11497" width="14.7109375" style="1" bestFit="1" customWidth="1"/>
    <col min="11498" max="11498" width="5.28515625" style="1" bestFit="1" customWidth="1"/>
    <col min="11499" max="11740" width="8.85546875" style="1"/>
    <col min="11741" max="11753" width="14.7109375" style="1" bestFit="1" customWidth="1"/>
    <col min="11754" max="11754" width="5.28515625" style="1" bestFit="1" customWidth="1"/>
    <col min="11755" max="11996" width="8.85546875" style="1"/>
    <col min="11997" max="12009" width="14.7109375" style="1" bestFit="1" customWidth="1"/>
    <col min="12010" max="12010" width="5.28515625" style="1" bestFit="1" customWidth="1"/>
    <col min="12011" max="12252" width="8.85546875" style="1"/>
    <col min="12253" max="12265" width="14.7109375" style="1" bestFit="1" customWidth="1"/>
    <col min="12266" max="12266" width="5.28515625" style="1" bestFit="1" customWidth="1"/>
    <col min="12267" max="12508" width="8.85546875" style="1"/>
    <col min="12509" max="12521" width="14.7109375" style="1" bestFit="1" customWidth="1"/>
    <col min="12522" max="12522" width="5.28515625" style="1" bestFit="1" customWidth="1"/>
    <col min="12523" max="12764" width="8.85546875" style="1"/>
    <col min="12765" max="12777" width="14.7109375" style="1" bestFit="1" customWidth="1"/>
    <col min="12778" max="12778" width="5.28515625" style="1" bestFit="1" customWidth="1"/>
    <col min="12779" max="13020" width="8.85546875" style="1"/>
    <col min="13021" max="13033" width="14.7109375" style="1" bestFit="1" customWidth="1"/>
    <col min="13034" max="13034" width="5.28515625" style="1" bestFit="1" customWidth="1"/>
    <col min="13035" max="13276" width="8.85546875" style="1"/>
    <col min="13277" max="13289" width="14.7109375" style="1" bestFit="1" customWidth="1"/>
    <col min="13290" max="13290" width="5.28515625" style="1" bestFit="1" customWidth="1"/>
    <col min="13291" max="13532" width="8.85546875" style="1"/>
    <col min="13533" max="13545" width="14.7109375" style="1" bestFit="1" customWidth="1"/>
    <col min="13546" max="13546" width="5.28515625" style="1" bestFit="1" customWidth="1"/>
    <col min="13547" max="13788" width="8.85546875" style="1"/>
    <col min="13789" max="13801" width="14.7109375" style="1" bestFit="1" customWidth="1"/>
    <col min="13802" max="13802" width="5.28515625" style="1" bestFit="1" customWidth="1"/>
    <col min="13803" max="14044" width="8.85546875" style="1"/>
    <col min="14045" max="14057" width="14.7109375" style="1" bestFit="1" customWidth="1"/>
    <col min="14058" max="14058" width="5.28515625" style="1" bestFit="1" customWidth="1"/>
    <col min="14059" max="14300" width="8.85546875" style="1"/>
    <col min="14301" max="14313" width="14.7109375" style="1" bestFit="1" customWidth="1"/>
    <col min="14314" max="14314" width="5.28515625" style="1" bestFit="1" customWidth="1"/>
    <col min="14315" max="14556" width="8.85546875" style="1"/>
    <col min="14557" max="14569" width="14.7109375" style="1" bestFit="1" customWidth="1"/>
    <col min="14570" max="14570" width="5.28515625" style="1" bestFit="1" customWidth="1"/>
    <col min="14571" max="14812" width="8.85546875" style="1"/>
    <col min="14813" max="14825" width="14.7109375" style="1" bestFit="1" customWidth="1"/>
    <col min="14826" max="14826" width="5.28515625" style="1" bestFit="1" customWidth="1"/>
    <col min="14827" max="15068" width="8.85546875" style="1"/>
    <col min="15069" max="15081" width="14.7109375" style="1" bestFit="1" customWidth="1"/>
    <col min="15082" max="15082" width="5.28515625" style="1" bestFit="1" customWidth="1"/>
    <col min="15083" max="15324" width="8.85546875" style="1"/>
    <col min="15325" max="15337" width="14.7109375" style="1" bestFit="1" customWidth="1"/>
    <col min="15338" max="15338" width="5.28515625" style="1" bestFit="1" customWidth="1"/>
    <col min="15339" max="15580" width="8.85546875" style="1"/>
    <col min="15581" max="15593" width="14.7109375" style="1" bestFit="1" customWidth="1"/>
    <col min="15594" max="15594" width="5.28515625" style="1" bestFit="1" customWidth="1"/>
    <col min="15595" max="15836" width="8.85546875" style="1"/>
    <col min="15837" max="15849" width="14.7109375" style="1" bestFit="1" customWidth="1"/>
    <col min="15850" max="15850" width="5.28515625" style="1" bestFit="1" customWidth="1"/>
    <col min="15851" max="16092" width="8.85546875" style="1"/>
    <col min="16093" max="16105" width="14.7109375" style="1" bestFit="1" customWidth="1"/>
    <col min="16106" max="16106" width="5.28515625" style="1" bestFit="1" customWidth="1"/>
    <col min="16107" max="16384" width="8.85546875" style="1"/>
  </cols>
  <sheetData>
    <row r="1" spans="1:14">
      <c r="A1" s="1249" t="s">
        <v>101</v>
      </c>
      <c r="B1" s="1249"/>
      <c r="C1" s="1249"/>
      <c r="D1" s="1249"/>
      <c r="E1" s="1249"/>
      <c r="F1" s="1249"/>
      <c r="G1" s="1249"/>
      <c r="H1" s="1249"/>
      <c r="I1" s="1249"/>
      <c r="J1" s="1249"/>
      <c r="K1" s="1249"/>
      <c r="L1" s="1249"/>
      <c r="M1" s="1249"/>
      <c r="N1" s="152"/>
    </row>
    <row r="2" spans="1:14" s="20" customFormat="1">
      <c r="A2" s="153" t="s">
        <v>92</v>
      </c>
      <c r="B2" s="1268" t="s">
        <v>102</v>
      </c>
      <c r="C2" s="1269"/>
      <c r="D2" s="1268" t="s">
        <v>103</v>
      </c>
      <c r="E2" s="1269"/>
      <c r="F2" s="1268" t="s">
        <v>104</v>
      </c>
      <c r="G2" s="1269"/>
      <c r="H2" s="1191" t="s">
        <v>105</v>
      </c>
      <c r="I2" s="1192"/>
      <c r="J2" s="1268" t="s">
        <v>106</v>
      </c>
      <c r="K2" s="1269"/>
      <c r="L2" s="1268" t="s">
        <v>53</v>
      </c>
      <c r="M2" s="1269"/>
      <c r="N2" s="152"/>
    </row>
    <row r="3" spans="1:14" s="20" customFormat="1">
      <c r="A3" s="56" t="s">
        <v>99</v>
      </c>
      <c r="B3" s="154" t="s">
        <v>71</v>
      </c>
      <c r="C3" s="155" t="s">
        <v>285</v>
      </c>
      <c r="D3" s="154" t="s">
        <v>71</v>
      </c>
      <c r="E3" s="155" t="s">
        <v>285</v>
      </c>
      <c r="F3" s="154" t="s">
        <v>71</v>
      </c>
      <c r="G3" s="155" t="s">
        <v>285</v>
      </c>
      <c r="H3" s="154" t="s">
        <v>71</v>
      </c>
      <c r="I3" s="155" t="s">
        <v>285</v>
      </c>
      <c r="J3" s="154" t="s">
        <v>71</v>
      </c>
      <c r="K3" s="155" t="s">
        <v>285</v>
      </c>
      <c r="L3" s="154" t="s">
        <v>71</v>
      </c>
      <c r="M3" s="155" t="s">
        <v>285</v>
      </c>
    </row>
    <row r="4" spans="1:14" s="187" customFormat="1">
      <c r="A4" s="56" t="s">
        <v>58</v>
      </c>
      <c r="B4" s="58">
        <v>252</v>
      </c>
      <c r="C4" s="58">
        <v>75088.09</v>
      </c>
      <c r="D4" s="57">
        <f>1689+2</f>
        <v>1691</v>
      </c>
      <c r="E4" s="156">
        <f>1854100.55+1552</f>
        <v>1855652.55</v>
      </c>
      <c r="F4" s="58">
        <f>4425+6</f>
        <v>4431</v>
      </c>
      <c r="G4" s="156">
        <f>9132486.1+1196.83</f>
        <v>9133682.9299999997</v>
      </c>
      <c r="H4" s="58">
        <v>768</v>
      </c>
      <c r="I4" s="156">
        <v>739873.1</v>
      </c>
      <c r="J4" s="58">
        <f>1193+4</f>
        <v>1197</v>
      </c>
      <c r="K4" s="156">
        <f>580065.57+1362</f>
        <v>581427.56999999995</v>
      </c>
      <c r="L4" s="58">
        <f>8184+12</f>
        <v>8196</v>
      </c>
      <c r="M4" s="327">
        <f>12225936.51+4110.83</f>
        <v>12230047.34</v>
      </c>
    </row>
    <row r="5" spans="1:14" s="187" customFormat="1">
      <c r="A5" s="305" t="s">
        <v>61</v>
      </c>
      <c r="B5" s="306">
        <f>SUM(B6:B16)</f>
        <v>247</v>
      </c>
      <c r="C5" s="306">
        <f>SUM(C6:C16)</f>
        <v>118008.15999999999</v>
      </c>
      <c r="D5" s="306">
        <f t="shared" ref="D5:M5" si="0">SUM(D6:D16)</f>
        <v>749</v>
      </c>
      <c r="E5" s="306">
        <f t="shared" si="0"/>
        <v>291071.84999999998</v>
      </c>
      <c r="F5" s="306">
        <f t="shared" si="0"/>
        <v>5814</v>
      </c>
      <c r="G5" s="306">
        <f t="shared" si="0"/>
        <v>14277953.192000002</v>
      </c>
      <c r="H5" s="306">
        <f t="shared" si="0"/>
        <v>264</v>
      </c>
      <c r="I5" s="306">
        <f t="shared" si="0"/>
        <v>144531.90000000002</v>
      </c>
      <c r="J5" s="306">
        <f t="shared" si="0"/>
        <v>1253</v>
      </c>
      <c r="K5" s="306">
        <f t="shared" si="0"/>
        <v>1100131.1599999999</v>
      </c>
      <c r="L5" s="306">
        <f t="shared" si="0"/>
        <v>8145</v>
      </c>
      <c r="M5" s="306">
        <f t="shared" si="0"/>
        <v>15697272.297</v>
      </c>
    </row>
    <row r="6" spans="1:14" s="20" customFormat="1">
      <c r="A6" s="303" t="s">
        <v>60</v>
      </c>
      <c r="B6" s="202">
        <v>4</v>
      </c>
      <c r="C6" s="202">
        <v>598.4</v>
      </c>
      <c r="D6" s="14">
        <v>78</v>
      </c>
      <c r="E6" s="202">
        <v>18083.34</v>
      </c>
      <c r="F6" s="202">
        <v>335</v>
      </c>
      <c r="G6" s="304">
        <v>1772609.63</v>
      </c>
      <c r="H6" s="202">
        <f>46+1</f>
        <v>47</v>
      </c>
      <c r="I6" s="202">
        <f>24584.43+735</f>
        <v>25319.43</v>
      </c>
      <c r="J6" s="202">
        <f>181+2</f>
        <v>183</v>
      </c>
      <c r="K6" s="304">
        <f>514291.99+360</f>
        <v>514651.99</v>
      </c>
      <c r="L6" s="202">
        <f>644+3</f>
        <v>647</v>
      </c>
      <c r="M6" s="304">
        <f>2330167.795+1095</f>
        <v>2331262.7949999999</v>
      </c>
    </row>
    <row r="7" spans="1:14" s="20" customFormat="1">
      <c r="A7" s="303" t="s">
        <v>59</v>
      </c>
      <c r="B7" s="202">
        <v>4</v>
      </c>
      <c r="C7" s="202">
        <v>37.630000000000003</v>
      </c>
      <c r="D7" s="14">
        <v>85</v>
      </c>
      <c r="E7" s="202">
        <v>57246.42</v>
      </c>
      <c r="F7" s="202">
        <f>493+2</f>
        <v>495</v>
      </c>
      <c r="G7" s="304">
        <f>1201121.33+275.9</f>
        <v>1201397.23</v>
      </c>
      <c r="H7" s="202">
        <v>29</v>
      </c>
      <c r="I7" s="202">
        <v>40188.47</v>
      </c>
      <c r="J7" s="202">
        <f>82+1</f>
        <v>83</v>
      </c>
      <c r="K7" s="202">
        <f>42963.5+55</f>
        <v>43018.5</v>
      </c>
      <c r="L7" s="202">
        <f>689+3</f>
        <v>692</v>
      </c>
      <c r="M7" s="304">
        <f>1340951.46+330.9</f>
        <v>1341282.3599999999</v>
      </c>
    </row>
    <row r="8" spans="1:14" s="20" customFormat="1">
      <c r="A8" s="303" t="s">
        <v>310</v>
      </c>
      <c r="B8" s="202">
        <f>9+1</f>
        <v>10</v>
      </c>
      <c r="C8" s="202">
        <f>2751.45+510</f>
        <v>3261.45</v>
      </c>
      <c r="D8" s="14">
        <v>78</v>
      </c>
      <c r="E8" s="202">
        <v>47594.14</v>
      </c>
      <c r="F8" s="202">
        <f>700+5</f>
        <v>705</v>
      </c>
      <c r="G8" s="304">
        <f>1263013.22+1467.9</f>
        <v>1264481.1199999999</v>
      </c>
      <c r="H8" s="202">
        <v>16</v>
      </c>
      <c r="I8" s="202">
        <v>13712.15</v>
      </c>
      <c r="J8" s="202">
        <v>104</v>
      </c>
      <c r="K8" s="202">
        <v>55701.22</v>
      </c>
      <c r="L8" s="202">
        <f>889+6</f>
        <v>895</v>
      </c>
      <c r="M8" s="304">
        <f>1361302.26+1977.9</f>
        <v>1363280.16</v>
      </c>
    </row>
    <row r="9" spans="1:14" s="20" customFormat="1">
      <c r="A9" s="303" t="s">
        <v>356</v>
      </c>
      <c r="B9" s="202">
        <v>6</v>
      </c>
      <c r="C9" s="202">
        <v>138.13</v>
      </c>
      <c r="D9" s="14">
        <f>61+1</f>
        <v>62</v>
      </c>
      <c r="E9" s="202">
        <f>11188+300</f>
        <v>11488</v>
      </c>
      <c r="F9" s="202">
        <v>567</v>
      </c>
      <c r="G9" s="304">
        <v>1234071.6499999999</v>
      </c>
      <c r="H9" s="202">
        <v>9</v>
      </c>
      <c r="I9" s="202">
        <v>3821.4</v>
      </c>
      <c r="J9" s="202">
        <v>111</v>
      </c>
      <c r="K9" s="202">
        <v>76813.8</v>
      </c>
      <c r="L9" s="202">
        <f>737+1</f>
        <v>738</v>
      </c>
      <c r="M9" s="304">
        <f>1310780.67+300</f>
        <v>1311080.67</v>
      </c>
    </row>
    <row r="10" spans="1:14" s="20" customFormat="1">
      <c r="A10" s="303" t="s">
        <v>384</v>
      </c>
      <c r="B10" s="202">
        <f>21+1</f>
        <v>22</v>
      </c>
      <c r="C10" s="202">
        <f>7118.39+100</f>
        <v>7218.39</v>
      </c>
      <c r="D10" s="14">
        <f>67+1</f>
        <v>68</v>
      </c>
      <c r="E10" s="202">
        <f>24674.93+302</f>
        <v>24976.93</v>
      </c>
      <c r="F10" s="202">
        <f>612+1</f>
        <v>613</v>
      </c>
      <c r="G10" s="304">
        <f>1496279.868+30</f>
        <v>1496309.868</v>
      </c>
      <c r="H10" s="202">
        <v>15</v>
      </c>
      <c r="I10" s="202">
        <v>5088.58</v>
      </c>
      <c r="J10" s="202">
        <f>115+1</f>
        <v>116</v>
      </c>
      <c r="K10" s="202">
        <f>117215.56+350</f>
        <v>117565.56</v>
      </c>
      <c r="L10" s="202">
        <f>803+4</f>
        <v>807</v>
      </c>
      <c r="M10" s="304">
        <f>1589777.448+782</f>
        <v>1590559.4480000001</v>
      </c>
    </row>
    <row r="11" spans="1:14" s="20" customFormat="1">
      <c r="A11" s="11">
        <v>44075</v>
      </c>
      <c r="B11" s="202">
        <v>38</v>
      </c>
      <c r="C11" s="202">
        <v>51115</v>
      </c>
      <c r="D11" s="14">
        <v>127</v>
      </c>
      <c r="E11" s="202">
        <v>57497.39</v>
      </c>
      <c r="F11" s="202">
        <v>832</v>
      </c>
      <c r="G11" s="304">
        <v>1777440.6680000001</v>
      </c>
      <c r="H11" s="202">
        <v>27</v>
      </c>
      <c r="I11" s="202">
        <v>18424.75</v>
      </c>
      <c r="J11" s="202">
        <v>189</v>
      </c>
      <c r="K11" s="202">
        <v>97682.6</v>
      </c>
      <c r="L11" s="202">
        <v>1186</v>
      </c>
      <c r="M11" s="304">
        <v>1966397.2379999999</v>
      </c>
    </row>
    <row r="12" spans="1:14" s="20" customFormat="1">
      <c r="A12" s="11" t="s">
        <v>392</v>
      </c>
      <c r="B12" s="202">
        <v>29</v>
      </c>
      <c r="C12" s="202">
        <v>1063.24</v>
      </c>
      <c r="D12" s="14">
        <v>75</v>
      </c>
      <c r="E12" s="202">
        <v>38775.129999999997</v>
      </c>
      <c r="F12" s="202">
        <v>346</v>
      </c>
      <c r="G12" s="304">
        <v>726268.64800000004</v>
      </c>
      <c r="H12" s="202">
        <v>27</v>
      </c>
      <c r="I12" s="202">
        <v>12466.2</v>
      </c>
      <c r="J12" s="202">
        <f>142+1</f>
        <v>143</v>
      </c>
      <c r="K12" s="202">
        <f>78441.39+1250</f>
        <v>79691.39</v>
      </c>
      <c r="L12" s="202">
        <f>572+1</f>
        <v>573</v>
      </c>
      <c r="M12" s="304">
        <f>816353.218+1250</f>
        <v>817603.21799999999</v>
      </c>
    </row>
    <row r="13" spans="1:14" s="20" customFormat="1">
      <c r="A13" s="303" t="s">
        <v>396</v>
      </c>
      <c r="B13" s="202">
        <v>45</v>
      </c>
      <c r="C13" s="202">
        <v>31089</v>
      </c>
      <c r="D13" s="14">
        <v>71</v>
      </c>
      <c r="E13" s="202">
        <v>15746.2</v>
      </c>
      <c r="F13" s="202">
        <f>422+1</f>
        <v>423</v>
      </c>
      <c r="G13" s="304">
        <f>598478.888+545</f>
        <v>599023.88800000004</v>
      </c>
      <c r="H13" s="202">
        <f>38+1</f>
        <v>39</v>
      </c>
      <c r="I13" s="202">
        <f>9537.2+482.32</f>
        <v>10019.52</v>
      </c>
      <c r="J13" s="202">
        <v>77</v>
      </c>
      <c r="K13" s="202">
        <v>20668.45</v>
      </c>
      <c r="L13" s="202">
        <f>644+2</f>
        <v>646</v>
      </c>
      <c r="M13" s="304">
        <f>673015.778+1027.32</f>
        <v>674043.098</v>
      </c>
    </row>
    <row r="14" spans="1:14" s="20" customFormat="1">
      <c r="A14" s="328" t="s">
        <v>457</v>
      </c>
      <c r="B14" s="329">
        <v>36</v>
      </c>
      <c r="C14" s="329">
        <v>3281.2200000000003</v>
      </c>
      <c r="D14" s="231">
        <v>54</v>
      </c>
      <c r="E14" s="329">
        <v>10030.700000000001</v>
      </c>
      <c r="F14" s="329">
        <v>694</v>
      </c>
      <c r="G14" s="330">
        <v>1641815.4600000002</v>
      </c>
      <c r="H14" s="329">
        <v>8</v>
      </c>
      <c r="I14" s="329">
        <v>4892.45</v>
      </c>
      <c r="J14" s="329">
        <v>99</v>
      </c>
      <c r="K14" s="329">
        <v>15328.71</v>
      </c>
      <c r="L14" s="329">
        <v>887</v>
      </c>
      <c r="M14" s="330">
        <v>1674793.6899999997</v>
      </c>
    </row>
    <row r="15" spans="1:14" s="20" customFormat="1">
      <c r="A15" s="11">
        <v>44198</v>
      </c>
      <c r="B15" s="329">
        <v>9</v>
      </c>
      <c r="C15" s="329">
        <v>2028.28</v>
      </c>
      <c r="D15" s="231">
        <v>28</v>
      </c>
      <c r="E15" s="329">
        <v>4990.87</v>
      </c>
      <c r="F15" s="329">
        <v>287</v>
      </c>
      <c r="G15" s="330">
        <v>1260677.07</v>
      </c>
      <c r="H15" s="329">
        <v>11</v>
      </c>
      <c r="I15" s="329">
        <v>5592.45</v>
      </c>
      <c r="J15" s="329">
        <v>63</v>
      </c>
      <c r="K15" s="329">
        <v>50786.65</v>
      </c>
      <c r="L15" s="329">
        <v>382</v>
      </c>
      <c r="M15" s="330">
        <v>1277798.57</v>
      </c>
    </row>
    <row r="16" spans="1:14" s="983" customFormat="1" ht="15" customHeight="1">
      <c r="A16" s="979" t="s">
        <v>1184</v>
      </c>
      <c r="B16" s="980">
        <v>44</v>
      </c>
      <c r="C16" s="980">
        <v>18177.419999999998</v>
      </c>
      <c r="D16" s="981">
        <v>23</v>
      </c>
      <c r="E16" s="980">
        <v>4642.7299999999996</v>
      </c>
      <c r="F16" s="980">
        <v>517</v>
      </c>
      <c r="G16" s="982">
        <v>1303857.96</v>
      </c>
      <c r="H16" s="980">
        <v>36</v>
      </c>
      <c r="I16" s="980">
        <v>5006.5</v>
      </c>
      <c r="J16" s="980">
        <v>85</v>
      </c>
      <c r="K16" s="980">
        <v>28222.29</v>
      </c>
      <c r="L16" s="980">
        <v>692</v>
      </c>
      <c r="M16" s="982">
        <v>1349171.05</v>
      </c>
    </row>
    <row r="17" spans="1:13" s="20" customFormat="1">
      <c r="A17" s="246" t="s">
        <v>354</v>
      </c>
      <c r="B17" s="19"/>
      <c r="C17" s="19"/>
      <c r="D17" s="16"/>
      <c r="E17" s="19"/>
      <c r="F17" s="19"/>
      <c r="G17" s="157"/>
      <c r="H17" s="19"/>
      <c r="I17" s="19"/>
      <c r="J17" s="19"/>
      <c r="K17" s="19"/>
      <c r="L17" s="19"/>
      <c r="M17" s="19"/>
    </row>
    <row r="18" spans="1:13" s="20" customFormat="1">
      <c r="A18" s="246" t="s">
        <v>500</v>
      </c>
      <c r="B18" s="19"/>
      <c r="C18" s="19"/>
      <c r="D18" s="16"/>
      <c r="E18" s="19"/>
      <c r="F18" s="19"/>
      <c r="G18" s="157"/>
      <c r="H18" s="19"/>
      <c r="I18" s="19"/>
      <c r="J18" s="19"/>
      <c r="K18" s="19"/>
      <c r="L18" s="19"/>
      <c r="M18" s="19"/>
    </row>
    <row r="19" spans="1:13" s="20" customFormat="1">
      <c r="A19" s="1181" t="s">
        <v>1173</v>
      </c>
      <c r="B19" s="1181"/>
      <c r="C19" s="1181"/>
      <c r="D19" s="1181"/>
      <c r="E19" s="1181"/>
      <c r="F19" s="1181"/>
      <c r="G19" s="1181"/>
      <c r="H19" s="1181"/>
      <c r="I19" s="1181"/>
      <c r="J19" s="1181"/>
      <c r="K19" s="1181"/>
      <c r="L19" s="1181"/>
      <c r="M19" s="1181"/>
    </row>
    <row r="20" spans="1:13" s="20" customFormat="1">
      <c r="A20" s="1181" t="s">
        <v>100</v>
      </c>
      <c r="B20" s="1181"/>
      <c r="C20" s="1181"/>
      <c r="D20" s="1181"/>
      <c r="E20" s="1181"/>
      <c r="F20" s="1181"/>
      <c r="G20" s="1181"/>
      <c r="H20" s="1181"/>
      <c r="I20" s="1181"/>
      <c r="J20" s="1181"/>
      <c r="K20" s="1181"/>
      <c r="L20" s="1181"/>
      <c r="M20" s="1181"/>
    </row>
  </sheetData>
  <mergeCells count="9">
    <mergeCell ref="A19:M19"/>
    <mergeCell ref="A20:M20"/>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11"/>
  <sheetViews>
    <sheetView workbookViewId="0">
      <selection activeCell="H25" sqref="H25"/>
    </sheetView>
  </sheetViews>
  <sheetFormatPr defaultColWidth="8.85546875" defaultRowHeight="15"/>
  <cols>
    <col min="1" max="1" width="15.28515625" style="21" bestFit="1" customWidth="1"/>
    <col min="2" max="4" width="14.7109375" style="21" bestFit="1" customWidth="1"/>
    <col min="5" max="253" width="8.85546875" style="21"/>
    <col min="254" max="257" width="14.7109375" style="21" bestFit="1" customWidth="1"/>
    <col min="258" max="258" width="24.140625" style="21" bestFit="1" customWidth="1"/>
    <col min="259" max="259" width="4.7109375" style="21" bestFit="1" customWidth="1"/>
    <col min="260" max="509" width="8.85546875" style="21"/>
    <col min="510" max="513" width="14.7109375" style="21" bestFit="1" customWidth="1"/>
    <col min="514" max="514" width="24.140625" style="21" bestFit="1" customWidth="1"/>
    <col min="515" max="515" width="4.7109375" style="21" bestFit="1" customWidth="1"/>
    <col min="516" max="765" width="8.85546875" style="21"/>
    <col min="766" max="769" width="14.7109375" style="21" bestFit="1" customWidth="1"/>
    <col min="770" max="770" width="24.140625" style="21" bestFit="1" customWidth="1"/>
    <col min="771" max="771" width="4.7109375" style="21" bestFit="1" customWidth="1"/>
    <col min="772" max="1021" width="8.85546875" style="21"/>
    <col min="1022" max="1025" width="14.7109375" style="21" bestFit="1" customWidth="1"/>
    <col min="1026" max="1026" width="24.140625" style="21" bestFit="1" customWidth="1"/>
    <col min="1027" max="1027" width="4.7109375" style="21" bestFit="1" customWidth="1"/>
    <col min="1028" max="1277" width="8.85546875" style="21"/>
    <col min="1278" max="1281" width="14.7109375" style="21" bestFit="1" customWidth="1"/>
    <col min="1282" max="1282" width="24.140625" style="21" bestFit="1" customWidth="1"/>
    <col min="1283" max="1283" width="4.7109375" style="21" bestFit="1" customWidth="1"/>
    <col min="1284" max="1533" width="8.85546875" style="21"/>
    <col min="1534" max="1537" width="14.7109375" style="21" bestFit="1" customWidth="1"/>
    <col min="1538" max="1538" width="24.140625" style="21" bestFit="1" customWidth="1"/>
    <col min="1539" max="1539" width="4.7109375" style="21" bestFit="1" customWidth="1"/>
    <col min="1540" max="1789" width="8.85546875" style="21"/>
    <col min="1790" max="1793" width="14.7109375" style="21" bestFit="1" customWidth="1"/>
    <col min="1794" max="1794" width="24.140625" style="21" bestFit="1" customWidth="1"/>
    <col min="1795" max="1795" width="4.7109375" style="21" bestFit="1" customWidth="1"/>
    <col min="1796" max="2045" width="8.85546875" style="21"/>
    <col min="2046" max="2049" width="14.7109375" style="21" bestFit="1" customWidth="1"/>
    <col min="2050" max="2050" width="24.140625" style="21" bestFit="1" customWidth="1"/>
    <col min="2051" max="2051" width="4.7109375" style="21" bestFit="1" customWidth="1"/>
    <col min="2052" max="2301" width="8.85546875" style="21"/>
    <col min="2302" max="2305" width="14.7109375" style="21" bestFit="1" customWidth="1"/>
    <col min="2306" max="2306" width="24.140625" style="21" bestFit="1" customWidth="1"/>
    <col min="2307" max="2307" width="4.7109375" style="21" bestFit="1" customWidth="1"/>
    <col min="2308" max="2557" width="8.85546875" style="21"/>
    <col min="2558" max="2561" width="14.7109375" style="21" bestFit="1" customWidth="1"/>
    <col min="2562" max="2562" width="24.140625" style="21" bestFit="1" customWidth="1"/>
    <col min="2563" max="2563" width="4.7109375" style="21" bestFit="1" customWidth="1"/>
    <col min="2564" max="2813" width="8.85546875" style="21"/>
    <col min="2814" max="2817" width="14.7109375" style="21" bestFit="1" customWidth="1"/>
    <col min="2818" max="2818" width="24.140625" style="21" bestFit="1" customWidth="1"/>
    <col min="2819" max="2819" width="4.7109375" style="21" bestFit="1" customWidth="1"/>
    <col min="2820" max="3069" width="8.85546875" style="21"/>
    <col min="3070" max="3073" width="14.7109375" style="21" bestFit="1" customWidth="1"/>
    <col min="3074" max="3074" width="24.140625" style="21" bestFit="1" customWidth="1"/>
    <col min="3075" max="3075" width="4.7109375" style="21" bestFit="1" customWidth="1"/>
    <col min="3076" max="3325" width="8.85546875" style="21"/>
    <col min="3326" max="3329" width="14.7109375" style="21" bestFit="1" customWidth="1"/>
    <col min="3330" max="3330" width="24.140625" style="21" bestFit="1" customWidth="1"/>
    <col min="3331" max="3331" width="4.7109375" style="21" bestFit="1" customWidth="1"/>
    <col min="3332" max="3581" width="8.85546875" style="21"/>
    <col min="3582" max="3585" width="14.7109375" style="21" bestFit="1" customWidth="1"/>
    <col min="3586" max="3586" width="24.140625" style="21" bestFit="1" customWidth="1"/>
    <col min="3587" max="3587" width="4.7109375" style="21" bestFit="1" customWidth="1"/>
    <col min="3588" max="3837" width="8.85546875" style="21"/>
    <col min="3838" max="3841" width="14.7109375" style="21" bestFit="1" customWidth="1"/>
    <col min="3842" max="3842" width="24.140625" style="21" bestFit="1" customWidth="1"/>
    <col min="3843" max="3843" width="4.7109375" style="21" bestFit="1" customWidth="1"/>
    <col min="3844" max="4093" width="8.85546875" style="21"/>
    <col min="4094" max="4097" width="14.7109375" style="21" bestFit="1" customWidth="1"/>
    <col min="4098" max="4098" width="24.140625" style="21" bestFit="1" customWidth="1"/>
    <col min="4099" max="4099" width="4.7109375" style="21" bestFit="1" customWidth="1"/>
    <col min="4100" max="4349" width="8.85546875" style="21"/>
    <col min="4350" max="4353" width="14.7109375" style="21" bestFit="1" customWidth="1"/>
    <col min="4354" max="4354" width="24.140625" style="21" bestFit="1" customWidth="1"/>
    <col min="4355" max="4355" width="4.7109375" style="21" bestFit="1" customWidth="1"/>
    <col min="4356" max="4605" width="8.85546875" style="21"/>
    <col min="4606" max="4609" width="14.7109375" style="21" bestFit="1" customWidth="1"/>
    <col min="4610" max="4610" width="24.140625" style="21" bestFit="1" customWidth="1"/>
    <col min="4611" max="4611" width="4.7109375" style="21" bestFit="1" customWidth="1"/>
    <col min="4612" max="4861" width="8.85546875" style="21"/>
    <col min="4862" max="4865" width="14.7109375" style="21" bestFit="1" customWidth="1"/>
    <col min="4866" max="4866" width="24.140625" style="21" bestFit="1" customWidth="1"/>
    <col min="4867" max="4867" width="4.7109375" style="21" bestFit="1" customWidth="1"/>
    <col min="4868" max="5117" width="8.85546875" style="21"/>
    <col min="5118" max="5121" width="14.7109375" style="21" bestFit="1" customWidth="1"/>
    <col min="5122" max="5122" width="24.140625" style="21" bestFit="1" customWidth="1"/>
    <col min="5123" max="5123" width="4.7109375" style="21" bestFit="1" customWidth="1"/>
    <col min="5124" max="5373" width="8.85546875" style="21"/>
    <col min="5374" max="5377" width="14.7109375" style="21" bestFit="1" customWidth="1"/>
    <col min="5378" max="5378" width="24.140625" style="21" bestFit="1" customWidth="1"/>
    <col min="5379" max="5379" width="4.7109375" style="21" bestFit="1" customWidth="1"/>
    <col min="5380" max="5629" width="8.85546875" style="21"/>
    <col min="5630" max="5633" width="14.7109375" style="21" bestFit="1" customWidth="1"/>
    <col min="5634" max="5634" width="24.140625" style="21" bestFit="1" customWidth="1"/>
    <col min="5635" max="5635" width="4.7109375" style="21" bestFit="1" customWidth="1"/>
    <col min="5636" max="5885" width="8.85546875" style="21"/>
    <col min="5886" max="5889" width="14.7109375" style="21" bestFit="1" customWidth="1"/>
    <col min="5890" max="5890" width="24.140625" style="21" bestFit="1" customWidth="1"/>
    <col min="5891" max="5891" width="4.7109375" style="21" bestFit="1" customWidth="1"/>
    <col min="5892" max="6141" width="8.85546875" style="21"/>
    <col min="6142" max="6145" width="14.7109375" style="21" bestFit="1" customWidth="1"/>
    <col min="6146" max="6146" width="24.140625" style="21" bestFit="1" customWidth="1"/>
    <col min="6147" max="6147" width="4.7109375" style="21" bestFit="1" customWidth="1"/>
    <col min="6148" max="6397" width="8.85546875" style="21"/>
    <col min="6398" max="6401" width="14.7109375" style="21" bestFit="1" customWidth="1"/>
    <col min="6402" max="6402" width="24.140625" style="21" bestFit="1" customWidth="1"/>
    <col min="6403" max="6403" width="4.7109375" style="21" bestFit="1" customWidth="1"/>
    <col min="6404" max="6653" width="8.85546875" style="21"/>
    <col min="6654" max="6657" width="14.7109375" style="21" bestFit="1" customWidth="1"/>
    <col min="6658" max="6658" width="24.140625" style="21" bestFit="1" customWidth="1"/>
    <col min="6659" max="6659" width="4.7109375" style="21" bestFit="1" customWidth="1"/>
    <col min="6660" max="6909" width="8.85546875" style="21"/>
    <col min="6910" max="6913" width="14.7109375" style="21" bestFit="1" customWidth="1"/>
    <col min="6914" max="6914" width="24.140625" style="21" bestFit="1" customWidth="1"/>
    <col min="6915" max="6915" width="4.7109375" style="21" bestFit="1" customWidth="1"/>
    <col min="6916" max="7165" width="8.85546875" style="21"/>
    <col min="7166" max="7169" width="14.7109375" style="21" bestFit="1" customWidth="1"/>
    <col min="7170" max="7170" width="24.140625" style="21" bestFit="1" customWidth="1"/>
    <col min="7171" max="7171" width="4.7109375" style="21" bestFit="1" customWidth="1"/>
    <col min="7172" max="7421" width="8.85546875" style="21"/>
    <col min="7422" max="7425" width="14.7109375" style="21" bestFit="1" customWidth="1"/>
    <col min="7426" max="7426" width="24.140625" style="21" bestFit="1" customWidth="1"/>
    <col min="7427" max="7427" width="4.7109375" style="21" bestFit="1" customWidth="1"/>
    <col min="7428" max="7677" width="8.85546875" style="21"/>
    <col min="7678" max="7681" width="14.7109375" style="21" bestFit="1" customWidth="1"/>
    <col min="7682" max="7682" width="24.140625" style="21" bestFit="1" customWidth="1"/>
    <col min="7683" max="7683" width="4.7109375" style="21" bestFit="1" customWidth="1"/>
    <col min="7684" max="7933" width="8.85546875" style="21"/>
    <col min="7934" max="7937" width="14.7109375" style="21" bestFit="1" customWidth="1"/>
    <col min="7938" max="7938" width="24.140625" style="21" bestFit="1" customWidth="1"/>
    <col min="7939" max="7939" width="4.7109375" style="21" bestFit="1" customWidth="1"/>
    <col min="7940" max="8189" width="8.85546875" style="21"/>
    <col min="8190" max="8193" width="14.7109375" style="21" bestFit="1" customWidth="1"/>
    <col min="8194" max="8194" width="24.140625" style="21" bestFit="1" customWidth="1"/>
    <col min="8195" max="8195" width="4.7109375" style="21" bestFit="1" customWidth="1"/>
    <col min="8196" max="8445" width="8.85546875" style="21"/>
    <col min="8446" max="8449" width="14.7109375" style="21" bestFit="1" customWidth="1"/>
    <col min="8450" max="8450" width="24.140625" style="21" bestFit="1" customWidth="1"/>
    <col min="8451" max="8451" width="4.7109375" style="21" bestFit="1" customWidth="1"/>
    <col min="8452" max="8701" width="8.85546875" style="21"/>
    <col min="8702" max="8705" width="14.7109375" style="21" bestFit="1" customWidth="1"/>
    <col min="8706" max="8706" width="24.140625" style="21" bestFit="1" customWidth="1"/>
    <col min="8707" max="8707" width="4.7109375" style="21" bestFit="1" customWidth="1"/>
    <col min="8708" max="8957" width="8.85546875" style="21"/>
    <col min="8958" max="8961" width="14.7109375" style="21" bestFit="1" customWidth="1"/>
    <col min="8962" max="8962" width="24.140625" style="21" bestFit="1" customWidth="1"/>
    <col min="8963" max="8963" width="4.7109375" style="21" bestFit="1" customWidth="1"/>
    <col min="8964" max="9213" width="8.85546875" style="21"/>
    <col min="9214" max="9217" width="14.7109375" style="21" bestFit="1" customWidth="1"/>
    <col min="9218" max="9218" width="24.140625" style="21" bestFit="1" customWidth="1"/>
    <col min="9219" max="9219" width="4.7109375" style="21" bestFit="1" customWidth="1"/>
    <col min="9220" max="9469" width="8.85546875" style="21"/>
    <col min="9470" max="9473" width="14.7109375" style="21" bestFit="1" customWidth="1"/>
    <col min="9474" max="9474" width="24.140625" style="21" bestFit="1" customWidth="1"/>
    <col min="9475" max="9475" width="4.7109375" style="21" bestFit="1" customWidth="1"/>
    <col min="9476" max="9725" width="8.85546875" style="21"/>
    <col min="9726" max="9729" width="14.7109375" style="21" bestFit="1" customWidth="1"/>
    <col min="9730" max="9730" width="24.140625" style="21" bestFit="1" customWidth="1"/>
    <col min="9731" max="9731" width="4.7109375" style="21" bestFit="1" customWidth="1"/>
    <col min="9732" max="9981" width="8.85546875" style="21"/>
    <col min="9982" max="9985" width="14.7109375" style="21" bestFit="1" customWidth="1"/>
    <col min="9986" max="9986" width="24.140625" style="21" bestFit="1" customWidth="1"/>
    <col min="9987" max="9987" width="4.7109375" style="21" bestFit="1" customWidth="1"/>
    <col min="9988" max="10237" width="8.85546875" style="21"/>
    <col min="10238" max="10241" width="14.7109375" style="21" bestFit="1" customWidth="1"/>
    <col min="10242" max="10242" width="24.140625" style="21" bestFit="1" customWidth="1"/>
    <col min="10243" max="10243" width="4.7109375" style="21" bestFit="1" customWidth="1"/>
    <col min="10244" max="10493" width="8.85546875" style="21"/>
    <col min="10494" max="10497" width="14.7109375" style="21" bestFit="1" customWidth="1"/>
    <col min="10498" max="10498" width="24.140625" style="21" bestFit="1" customWidth="1"/>
    <col min="10499" max="10499" width="4.7109375" style="21" bestFit="1" customWidth="1"/>
    <col min="10500" max="10749" width="8.85546875" style="21"/>
    <col min="10750" max="10753" width="14.7109375" style="21" bestFit="1" customWidth="1"/>
    <col min="10754" max="10754" width="24.140625" style="21" bestFit="1" customWidth="1"/>
    <col min="10755" max="10755" width="4.7109375" style="21" bestFit="1" customWidth="1"/>
    <col min="10756" max="11005" width="8.85546875" style="21"/>
    <col min="11006" max="11009" width="14.7109375" style="21" bestFit="1" customWidth="1"/>
    <col min="11010" max="11010" width="24.140625" style="21" bestFit="1" customWidth="1"/>
    <col min="11011" max="11011" width="4.7109375" style="21" bestFit="1" customWidth="1"/>
    <col min="11012" max="11261" width="8.85546875" style="21"/>
    <col min="11262" max="11265" width="14.7109375" style="21" bestFit="1" customWidth="1"/>
    <col min="11266" max="11266" width="24.140625" style="21" bestFit="1" customWidth="1"/>
    <col min="11267" max="11267" width="4.7109375" style="21" bestFit="1" customWidth="1"/>
    <col min="11268" max="11517" width="8.85546875" style="21"/>
    <col min="11518" max="11521" width="14.7109375" style="21" bestFit="1" customWidth="1"/>
    <col min="11522" max="11522" width="24.140625" style="21" bestFit="1" customWidth="1"/>
    <col min="11523" max="11523" width="4.7109375" style="21" bestFit="1" customWidth="1"/>
    <col min="11524" max="11773" width="8.85546875" style="21"/>
    <col min="11774" max="11777" width="14.7109375" style="21" bestFit="1" customWidth="1"/>
    <col min="11778" max="11778" width="24.140625" style="21" bestFit="1" customWidth="1"/>
    <col min="11779" max="11779" width="4.7109375" style="21" bestFit="1" customWidth="1"/>
    <col min="11780" max="12029" width="8.85546875" style="21"/>
    <col min="12030" max="12033" width="14.7109375" style="21" bestFit="1" customWidth="1"/>
    <col min="12034" max="12034" width="24.140625" style="21" bestFit="1" customWidth="1"/>
    <col min="12035" max="12035" width="4.7109375" style="21" bestFit="1" customWidth="1"/>
    <col min="12036" max="12285" width="8.85546875" style="21"/>
    <col min="12286" max="12289" width="14.7109375" style="21" bestFit="1" customWidth="1"/>
    <col min="12290" max="12290" width="24.140625" style="21" bestFit="1" customWidth="1"/>
    <col min="12291" max="12291" width="4.7109375" style="21" bestFit="1" customWidth="1"/>
    <col min="12292" max="12541" width="8.85546875" style="21"/>
    <col min="12542" max="12545" width="14.7109375" style="21" bestFit="1" customWidth="1"/>
    <col min="12546" max="12546" width="24.140625" style="21" bestFit="1" customWidth="1"/>
    <col min="12547" max="12547" width="4.7109375" style="21" bestFit="1" customWidth="1"/>
    <col min="12548" max="12797" width="8.85546875" style="21"/>
    <col min="12798" max="12801" width="14.7109375" style="21" bestFit="1" customWidth="1"/>
    <col min="12802" max="12802" width="24.140625" style="21" bestFit="1" customWidth="1"/>
    <col min="12803" max="12803" width="4.7109375" style="21" bestFit="1" customWidth="1"/>
    <col min="12804" max="13053" width="8.85546875" style="21"/>
    <col min="13054" max="13057" width="14.7109375" style="21" bestFit="1" customWidth="1"/>
    <col min="13058" max="13058" width="24.140625" style="21" bestFit="1" customWidth="1"/>
    <col min="13059" max="13059" width="4.7109375" style="21" bestFit="1" customWidth="1"/>
    <col min="13060" max="13309" width="8.85546875" style="21"/>
    <col min="13310" max="13313" width="14.7109375" style="21" bestFit="1" customWidth="1"/>
    <col min="13314" max="13314" width="24.140625" style="21" bestFit="1" customWidth="1"/>
    <col min="13315" max="13315" width="4.7109375" style="21" bestFit="1" customWidth="1"/>
    <col min="13316" max="13565" width="8.85546875" style="21"/>
    <col min="13566" max="13569" width="14.7109375" style="21" bestFit="1" customWidth="1"/>
    <col min="13570" max="13570" width="24.140625" style="21" bestFit="1" customWidth="1"/>
    <col min="13571" max="13571" width="4.7109375" style="21" bestFit="1" customWidth="1"/>
    <col min="13572" max="13821" width="8.85546875" style="21"/>
    <col min="13822" max="13825" width="14.7109375" style="21" bestFit="1" customWidth="1"/>
    <col min="13826" max="13826" width="24.140625" style="21" bestFit="1" customWidth="1"/>
    <col min="13827" max="13827" width="4.7109375" style="21" bestFit="1" customWidth="1"/>
    <col min="13828" max="14077" width="8.85546875" style="21"/>
    <col min="14078" max="14081" width="14.7109375" style="21" bestFit="1" customWidth="1"/>
    <col min="14082" max="14082" width="24.140625" style="21" bestFit="1" customWidth="1"/>
    <col min="14083" max="14083" width="4.7109375" style="21" bestFit="1" customWidth="1"/>
    <col min="14084" max="14333" width="8.85546875" style="21"/>
    <col min="14334" max="14337" width="14.7109375" style="21" bestFit="1" customWidth="1"/>
    <col min="14338" max="14338" width="24.140625" style="21" bestFit="1" customWidth="1"/>
    <col min="14339" max="14339" width="4.7109375" style="21" bestFit="1" customWidth="1"/>
    <col min="14340" max="14589" width="8.85546875" style="21"/>
    <col min="14590" max="14593" width="14.7109375" style="21" bestFit="1" customWidth="1"/>
    <col min="14594" max="14594" width="24.140625" style="21" bestFit="1" customWidth="1"/>
    <col min="14595" max="14595" width="4.7109375" style="21" bestFit="1" customWidth="1"/>
    <col min="14596" max="14845" width="8.85546875" style="21"/>
    <col min="14846" max="14849" width="14.7109375" style="21" bestFit="1" customWidth="1"/>
    <col min="14850" max="14850" width="24.140625" style="21" bestFit="1" customWidth="1"/>
    <col min="14851" max="14851" width="4.7109375" style="21" bestFit="1" customWidth="1"/>
    <col min="14852" max="15101" width="8.85546875" style="21"/>
    <col min="15102" max="15105" width="14.7109375" style="21" bestFit="1" customWidth="1"/>
    <col min="15106" max="15106" width="24.140625" style="21" bestFit="1" customWidth="1"/>
    <col min="15107" max="15107" width="4.7109375" style="21" bestFit="1" customWidth="1"/>
    <col min="15108" max="15357" width="8.85546875" style="21"/>
    <col min="15358" max="15361" width="14.7109375" style="21" bestFit="1" customWidth="1"/>
    <col min="15362" max="15362" width="24.140625" style="21" bestFit="1" customWidth="1"/>
    <col min="15363" max="15363" width="4.7109375" style="21" bestFit="1" customWidth="1"/>
    <col min="15364" max="15613" width="8.85546875" style="21"/>
    <col min="15614" max="15617" width="14.7109375" style="21" bestFit="1" customWidth="1"/>
    <col min="15618" max="15618" width="24.140625" style="21" bestFit="1" customWidth="1"/>
    <col min="15619" max="15619" width="4.7109375" style="21" bestFit="1" customWidth="1"/>
    <col min="15620" max="15869" width="8.85546875" style="21"/>
    <col min="15870" max="15873" width="14.7109375" style="21" bestFit="1" customWidth="1"/>
    <col min="15874" max="15874" width="24.140625" style="21" bestFit="1" customWidth="1"/>
    <col min="15875" max="15875" width="4.7109375" style="21" bestFit="1" customWidth="1"/>
    <col min="15876" max="16125" width="8.85546875" style="21"/>
    <col min="16126" max="16129" width="14.7109375" style="21" bestFit="1" customWidth="1"/>
    <col min="16130" max="16130" width="24.140625" style="21" bestFit="1" customWidth="1"/>
    <col min="16131" max="16131" width="4.7109375" style="21" bestFit="1" customWidth="1"/>
    <col min="16132" max="16384" width="8.85546875" style="21"/>
  </cols>
  <sheetData>
    <row r="1" spans="1:4" ht="32.25" customHeight="1">
      <c r="A1" s="1270" t="s">
        <v>446</v>
      </c>
      <c r="B1" s="1270"/>
      <c r="C1" s="1270"/>
      <c r="D1" s="1270"/>
    </row>
    <row r="2" spans="1:4" s="24" customFormat="1" ht="18" customHeight="1">
      <c r="A2" s="101" t="s">
        <v>107</v>
      </c>
      <c r="B2" s="132" t="s">
        <v>1184</v>
      </c>
      <c r="C2" s="132" t="s">
        <v>58</v>
      </c>
      <c r="D2" s="132" t="s">
        <v>61</v>
      </c>
    </row>
    <row r="3" spans="1:4" s="22" customFormat="1" ht="18" customHeight="1">
      <c r="A3" s="97" t="s">
        <v>87</v>
      </c>
      <c r="B3" s="93">
        <v>144954.51</v>
      </c>
      <c r="C3" s="150">
        <v>660896.02</v>
      </c>
      <c r="D3" s="150">
        <v>939860.73</v>
      </c>
    </row>
    <row r="4" spans="1:4" s="24" customFormat="1" ht="18" customHeight="1">
      <c r="A4" s="102" t="s">
        <v>89</v>
      </c>
      <c r="B4" s="186">
        <v>1.632973045</v>
      </c>
      <c r="C4" s="105">
        <v>27.988247170000001</v>
      </c>
      <c r="D4" s="105">
        <v>6.7720042950000003</v>
      </c>
    </row>
    <row r="5" spans="1:4" s="24" customFormat="1" ht="18" customHeight="1">
      <c r="A5" s="102" t="s">
        <v>88</v>
      </c>
      <c r="B5" s="161">
        <v>1627463.62</v>
      </c>
      <c r="C5" s="161">
        <v>8998811.0710000005</v>
      </c>
      <c r="D5" s="161">
        <v>13998961.4</v>
      </c>
    </row>
    <row r="6" spans="1:4" s="24" customFormat="1" ht="18" customHeight="1">
      <c r="A6" s="28" t="s">
        <v>354</v>
      </c>
      <c r="B6" s="32"/>
      <c r="C6" s="32"/>
      <c r="D6" s="32"/>
    </row>
    <row r="7" spans="1:4" s="24" customFormat="1" ht="18" customHeight="1">
      <c r="A7" s="1235" t="s">
        <v>1173</v>
      </c>
      <c r="B7" s="1235"/>
      <c r="C7" s="1235"/>
      <c r="D7" s="1235"/>
    </row>
    <row r="8" spans="1:4" s="24" customFormat="1" ht="18.75" customHeight="1">
      <c r="A8" s="1235" t="s">
        <v>82</v>
      </c>
      <c r="B8" s="1235"/>
      <c r="C8" s="1235"/>
      <c r="D8" s="1235"/>
    </row>
    <row r="9" spans="1:4" ht="28.35" customHeight="1"/>
    <row r="10" spans="1:4">
      <c r="B10" s="151"/>
    </row>
    <row r="11" spans="1:4">
      <c r="D11" s="496"/>
    </row>
  </sheetData>
  <mergeCells count="3">
    <mergeCell ref="A1:D1"/>
    <mergeCell ref="A7:D7"/>
    <mergeCell ref="A8:D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4"/>
  <sheetViews>
    <sheetView zoomScaleNormal="100" workbookViewId="0">
      <selection activeCell="E38" sqref="E38"/>
    </sheetView>
  </sheetViews>
  <sheetFormatPr defaultColWidth="8.85546875" defaultRowHeight="15"/>
  <cols>
    <col min="1" max="1" width="15" style="21" bestFit="1" customWidth="1"/>
    <col min="2" max="8" width="9.7109375" style="21" customWidth="1"/>
    <col min="9" max="12" width="15" style="21" bestFit="1" customWidth="1"/>
    <col min="13" max="13" width="14.28515625" style="21" bestFit="1" customWidth="1"/>
    <col min="14" max="16" width="15" style="21" bestFit="1" customWidth="1"/>
    <col min="17" max="17" width="2.140625" style="21" bestFit="1" customWidth="1"/>
    <col min="18" max="18" width="4.7109375" style="21" bestFit="1" customWidth="1"/>
    <col min="19" max="256" width="8.85546875" style="21"/>
    <col min="257" max="268" width="14.7109375" style="21" bestFit="1" customWidth="1"/>
    <col min="269" max="269" width="14" style="21" bestFit="1" customWidth="1"/>
    <col min="270" max="272" width="14.7109375" style="21" bestFit="1" customWidth="1"/>
    <col min="273" max="273" width="0.42578125" style="21" bestFit="1" customWidth="1"/>
    <col min="274" max="274" width="4.7109375" style="21" bestFit="1" customWidth="1"/>
    <col min="275" max="512" width="8.85546875" style="21"/>
    <col min="513" max="524" width="14.7109375" style="21" bestFit="1" customWidth="1"/>
    <col min="525" max="525" width="14" style="21" bestFit="1" customWidth="1"/>
    <col min="526" max="528" width="14.7109375" style="21" bestFit="1" customWidth="1"/>
    <col min="529" max="529" width="0.42578125" style="21" bestFit="1" customWidth="1"/>
    <col min="530" max="530" width="4.7109375" style="21" bestFit="1" customWidth="1"/>
    <col min="531" max="768" width="8.85546875" style="21"/>
    <col min="769" max="780" width="14.7109375" style="21" bestFit="1" customWidth="1"/>
    <col min="781" max="781" width="14" style="21" bestFit="1" customWidth="1"/>
    <col min="782" max="784" width="14.7109375" style="21" bestFit="1" customWidth="1"/>
    <col min="785" max="785" width="0.42578125" style="21" bestFit="1" customWidth="1"/>
    <col min="786" max="786" width="4.7109375" style="21" bestFit="1" customWidth="1"/>
    <col min="787" max="1024" width="8.85546875" style="21"/>
    <col min="1025" max="1036" width="14.7109375" style="21" bestFit="1" customWidth="1"/>
    <col min="1037" max="1037" width="14" style="21" bestFit="1" customWidth="1"/>
    <col min="1038" max="1040" width="14.7109375" style="21" bestFit="1" customWidth="1"/>
    <col min="1041" max="1041" width="0.42578125" style="21" bestFit="1" customWidth="1"/>
    <col min="1042" max="1042" width="4.7109375" style="21" bestFit="1" customWidth="1"/>
    <col min="1043" max="1280" width="8.85546875" style="21"/>
    <col min="1281" max="1292" width="14.7109375" style="21" bestFit="1" customWidth="1"/>
    <col min="1293" max="1293" width="14" style="21" bestFit="1" customWidth="1"/>
    <col min="1294" max="1296" width="14.7109375" style="21" bestFit="1" customWidth="1"/>
    <col min="1297" max="1297" width="0.42578125" style="21" bestFit="1" customWidth="1"/>
    <col min="1298" max="1298" width="4.7109375" style="21" bestFit="1" customWidth="1"/>
    <col min="1299" max="1536" width="8.85546875" style="21"/>
    <col min="1537" max="1548" width="14.7109375" style="21" bestFit="1" customWidth="1"/>
    <col min="1549" max="1549" width="14" style="21" bestFit="1" customWidth="1"/>
    <col min="1550" max="1552" width="14.7109375" style="21" bestFit="1" customWidth="1"/>
    <col min="1553" max="1553" width="0.42578125" style="21" bestFit="1" customWidth="1"/>
    <col min="1554" max="1554" width="4.7109375" style="21" bestFit="1" customWidth="1"/>
    <col min="1555" max="1792" width="8.85546875" style="21"/>
    <col min="1793" max="1804" width="14.7109375" style="21" bestFit="1" customWidth="1"/>
    <col min="1805" max="1805" width="14" style="21" bestFit="1" customWidth="1"/>
    <col min="1806" max="1808" width="14.7109375" style="21" bestFit="1" customWidth="1"/>
    <col min="1809" max="1809" width="0.42578125" style="21" bestFit="1" customWidth="1"/>
    <col min="1810" max="1810" width="4.7109375" style="21" bestFit="1" customWidth="1"/>
    <col min="1811" max="2048" width="8.85546875" style="21"/>
    <col min="2049" max="2060" width="14.7109375" style="21" bestFit="1" customWidth="1"/>
    <col min="2061" max="2061" width="14" style="21" bestFit="1" customWidth="1"/>
    <col min="2062" max="2064" width="14.7109375" style="21" bestFit="1" customWidth="1"/>
    <col min="2065" max="2065" width="0.42578125" style="21" bestFit="1" customWidth="1"/>
    <col min="2066" max="2066" width="4.7109375" style="21" bestFit="1" customWidth="1"/>
    <col min="2067" max="2304" width="8.85546875" style="21"/>
    <col min="2305" max="2316" width="14.7109375" style="21" bestFit="1" customWidth="1"/>
    <col min="2317" max="2317" width="14" style="21" bestFit="1" customWidth="1"/>
    <col min="2318" max="2320" width="14.7109375" style="21" bestFit="1" customWidth="1"/>
    <col min="2321" max="2321" width="0.42578125" style="21" bestFit="1" customWidth="1"/>
    <col min="2322" max="2322" width="4.7109375" style="21" bestFit="1" customWidth="1"/>
    <col min="2323" max="2560" width="8.85546875" style="21"/>
    <col min="2561" max="2572" width="14.7109375" style="21" bestFit="1" customWidth="1"/>
    <col min="2573" max="2573" width="14" style="21" bestFit="1" customWidth="1"/>
    <col min="2574" max="2576" width="14.7109375" style="21" bestFit="1" customWidth="1"/>
    <col min="2577" max="2577" width="0.42578125" style="21" bestFit="1" customWidth="1"/>
    <col min="2578" max="2578" width="4.7109375" style="21" bestFit="1" customWidth="1"/>
    <col min="2579" max="2816" width="8.85546875" style="21"/>
    <col min="2817" max="2828" width="14.7109375" style="21" bestFit="1" customWidth="1"/>
    <col min="2829" max="2829" width="14" style="21" bestFit="1" customWidth="1"/>
    <col min="2830" max="2832" width="14.7109375" style="21" bestFit="1" customWidth="1"/>
    <col min="2833" max="2833" width="0.42578125" style="21" bestFit="1" customWidth="1"/>
    <col min="2834" max="2834" width="4.7109375" style="21" bestFit="1" customWidth="1"/>
    <col min="2835" max="3072" width="8.85546875" style="21"/>
    <col min="3073" max="3084" width="14.7109375" style="21" bestFit="1" customWidth="1"/>
    <col min="3085" max="3085" width="14" style="21" bestFit="1" customWidth="1"/>
    <col min="3086" max="3088" width="14.7109375" style="21" bestFit="1" customWidth="1"/>
    <col min="3089" max="3089" width="0.42578125" style="21" bestFit="1" customWidth="1"/>
    <col min="3090" max="3090" width="4.7109375" style="21" bestFit="1" customWidth="1"/>
    <col min="3091" max="3328" width="8.85546875" style="21"/>
    <col min="3329" max="3340" width="14.7109375" style="21" bestFit="1" customWidth="1"/>
    <col min="3341" max="3341" width="14" style="21" bestFit="1" customWidth="1"/>
    <col min="3342" max="3344" width="14.7109375" style="21" bestFit="1" customWidth="1"/>
    <col min="3345" max="3345" width="0.42578125" style="21" bestFit="1" customWidth="1"/>
    <col min="3346" max="3346" width="4.7109375" style="21" bestFit="1" customWidth="1"/>
    <col min="3347" max="3584" width="8.85546875" style="21"/>
    <col min="3585" max="3596" width="14.7109375" style="21" bestFit="1" customWidth="1"/>
    <col min="3597" max="3597" width="14" style="21" bestFit="1" customWidth="1"/>
    <col min="3598" max="3600" width="14.7109375" style="21" bestFit="1" customWidth="1"/>
    <col min="3601" max="3601" width="0.42578125" style="21" bestFit="1" customWidth="1"/>
    <col min="3602" max="3602" width="4.7109375" style="21" bestFit="1" customWidth="1"/>
    <col min="3603" max="3840" width="8.85546875" style="21"/>
    <col min="3841" max="3852" width="14.7109375" style="21" bestFit="1" customWidth="1"/>
    <col min="3853" max="3853" width="14" style="21" bestFit="1" customWidth="1"/>
    <col min="3854" max="3856" width="14.7109375" style="21" bestFit="1" customWidth="1"/>
    <col min="3857" max="3857" width="0.42578125" style="21" bestFit="1" customWidth="1"/>
    <col min="3858" max="3858" width="4.7109375" style="21" bestFit="1" customWidth="1"/>
    <col min="3859" max="4096" width="8.85546875" style="21"/>
    <col min="4097" max="4108" width="14.7109375" style="21" bestFit="1" customWidth="1"/>
    <col min="4109" max="4109" width="14" style="21" bestFit="1" customWidth="1"/>
    <col min="4110" max="4112" width="14.7109375" style="21" bestFit="1" customWidth="1"/>
    <col min="4113" max="4113" width="0.42578125" style="21" bestFit="1" customWidth="1"/>
    <col min="4114" max="4114" width="4.7109375" style="21" bestFit="1" customWidth="1"/>
    <col min="4115" max="4352" width="8.85546875" style="21"/>
    <col min="4353" max="4364" width="14.7109375" style="21" bestFit="1" customWidth="1"/>
    <col min="4365" max="4365" width="14" style="21" bestFit="1" customWidth="1"/>
    <col min="4366" max="4368" width="14.7109375" style="21" bestFit="1" customWidth="1"/>
    <col min="4369" max="4369" width="0.42578125" style="21" bestFit="1" customWidth="1"/>
    <col min="4370" max="4370" width="4.7109375" style="21" bestFit="1" customWidth="1"/>
    <col min="4371" max="4608" width="8.85546875" style="21"/>
    <col min="4609" max="4620" width="14.7109375" style="21" bestFit="1" customWidth="1"/>
    <col min="4621" max="4621" width="14" style="21" bestFit="1" customWidth="1"/>
    <col min="4622" max="4624" width="14.7109375" style="21" bestFit="1" customWidth="1"/>
    <col min="4625" max="4625" width="0.42578125" style="21" bestFit="1" customWidth="1"/>
    <col min="4626" max="4626" width="4.7109375" style="21" bestFit="1" customWidth="1"/>
    <col min="4627" max="4864" width="8.85546875" style="21"/>
    <col min="4865" max="4876" width="14.7109375" style="21" bestFit="1" customWidth="1"/>
    <col min="4877" max="4877" width="14" style="21" bestFit="1" customWidth="1"/>
    <col min="4878" max="4880" width="14.7109375" style="21" bestFit="1" customWidth="1"/>
    <col min="4881" max="4881" width="0.42578125" style="21" bestFit="1" customWidth="1"/>
    <col min="4882" max="4882" width="4.7109375" style="21" bestFit="1" customWidth="1"/>
    <col min="4883" max="5120" width="8.85546875" style="21"/>
    <col min="5121" max="5132" width="14.7109375" style="21" bestFit="1" customWidth="1"/>
    <col min="5133" max="5133" width="14" style="21" bestFit="1" customWidth="1"/>
    <col min="5134" max="5136" width="14.7109375" style="21" bestFit="1" customWidth="1"/>
    <col min="5137" max="5137" width="0.42578125" style="21" bestFit="1" customWidth="1"/>
    <col min="5138" max="5138" width="4.7109375" style="21" bestFit="1" customWidth="1"/>
    <col min="5139" max="5376" width="8.85546875" style="21"/>
    <col min="5377" max="5388" width="14.7109375" style="21" bestFit="1" customWidth="1"/>
    <col min="5389" max="5389" width="14" style="21" bestFit="1" customWidth="1"/>
    <col min="5390" max="5392" width="14.7109375" style="21" bestFit="1" customWidth="1"/>
    <col min="5393" max="5393" width="0.42578125" style="21" bestFit="1" customWidth="1"/>
    <col min="5394" max="5394" width="4.7109375" style="21" bestFit="1" customWidth="1"/>
    <col min="5395" max="5632" width="8.85546875" style="21"/>
    <col min="5633" max="5644" width="14.7109375" style="21" bestFit="1" customWidth="1"/>
    <col min="5645" max="5645" width="14" style="21" bestFit="1" customWidth="1"/>
    <col min="5646" max="5648" width="14.7109375" style="21" bestFit="1" customWidth="1"/>
    <col min="5649" max="5649" width="0.42578125" style="21" bestFit="1" customWidth="1"/>
    <col min="5650" max="5650" width="4.7109375" style="21" bestFit="1" customWidth="1"/>
    <col min="5651" max="5888" width="8.85546875" style="21"/>
    <col min="5889" max="5900" width="14.7109375" style="21" bestFit="1" customWidth="1"/>
    <col min="5901" max="5901" width="14" style="21" bestFit="1" customWidth="1"/>
    <col min="5902" max="5904" width="14.7109375" style="21" bestFit="1" customWidth="1"/>
    <col min="5905" max="5905" width="0.42578125" style="21" bestFit="1" customWidth="1"/>
    <col min="5906" max="5906" width="4.7109375" style="21" bestFit="1" customWidth="1"/>
    <col min="5907" max="6144" width="8.85546875" style="21"/>
    <col min="6145" max="6156" width="14.7109375" style="21" bestFit="1" customWidth="1"/>
    <col min="6157" max="6157" width="14" style="21" bestFit="1" customWidth="1"/>
    <col min="6158" max="6160" width="14.7109375" style="21" bestFit="1" customWidth="1"/>
    <col min="6161" max="6161" width="0.42578125" style="21" bestFit="1" customWidth="1"/>
    <col min="6162" max="6162" width="4.7109375" style="21" bestFit="1" customWidth="1"/>
    <col min="6163" max="6400" width="8.85546875" style="21"/>
    <col min="6401" max="6412" width="14.7109375" style="21" bestFit="1" customWidth="1"/>
    <col min="6413" max="6413" width="14" style="21" bestFit="1" customWidth="1"/>
    <col min="6414" max="6416" width="14.7109375" style="21" bestFit="1" customWidth="1"/>
    <col min="6417" max="6417" width="0.42578125" style="21" bestFit="1" customWidth="1"/>
    <col min="6418" max="6418" width="4.7109375" style="21" bestFit="1" customWidth="1"/>
    <col min="6419" max="6656" width="8.85546875" style="21"/>
    <col min="6657" max="6668" width="14.7109375" style="21" bestFit="1" customWidth="1"/>
    <col min="6669" max="6669" width="14" style="21" bestFit="1" customWidth="1"/>
    <col min="6670" max="6672" width="14.7109375" style="21" bestFit="1" customWidth="1"/>
    <col min="6673" max="6673" width="0.42578125" style="21" bestFit="1" customWidth="1"/>
    <col min="6674" max="6674" width="4.7109375" style="21" bestFit="1" customWidth="1"/>
    <col min="6675" max="6912" width="8.85546875" style="21"/>
    <col min="6913" max="6924" width="14.7109375" style="21" bestFit="1" customWidth="1"/>
    <col min="6925" max="6925" width="14" style="21" bestFit="1" customWidth="1"/>
    <col min="6926" max="6928" width="14.7109375" style="21" bestFit="1" customWidth="1"/>
    <col min="6929" max="6929" width="0.42578125" style="21" bestFit="1" customWidth="1"/>
    <col min="6930" max="6930" width="4.7109375" style="21" bestFit="1" customWidth="1"/>
    <col min="6931" max="7168" width="8.85546875" style="21"/>
    <col min="7169" max="7180" width="14.7109375" style="21" bestFit="1" customWidth="1"/>
    <col min="7181" max="7181" width="14" style="21" bestFit="1" customWidth="1"/>
    <col min="7182" max="7184" width="14.7109375" style="21" bestFit="1" customWidth="1"/>
    <col min="7185" max="7185" width="0.42578125" style="21" bestFit="1" customWidth="1"/>
    <col min="7186" max="7186" width="4.7109375" style="21" bestFit="1" customWidth="1"/>
    <col min="7187" max="7424" width="8.85546875" style="21"/>
    <col min="7425" max="7436" width="14.7109375" style="21" bestFit="1" customWidth="1"/>
    <col min="7437" max="7437" width="14" style="21" bestFit="1" customWidth="1"/>
    <col min="7438" max="7440" width="14.7109375" style="21" bestFit="1" customWidth="1"/>
    <col min="7441" max="7441" width="0.42578125" style="21" bestFit="1" customWidth="1"/>
    <col min="7442" max="7442" width="4.7109375" style="21" bestFit="1" customWidth="1"/>
    <col min="7443" max="7680" width="8.85546875" style="21"/>
    <col min="7681" max="7692" width="14.7109375" style="21" bestFit="1" customWidth="1"/>
    <col min="7693" max="7693" width="14" style="21" bestFit="1" customWidth="1"/>
    <col min="7694" max="7696" width="14.7109375" style="21" bestFit="1" customWidth="1"/>
    <col min="7697" max="7697" width="0.42578125" style="21" bestFit="1" customWidth="1"/>
    <col min="7698" max="7698" width="4.7109375" style="21" bestFit="1" customWidth="1"/>
    <col min="7699" max="7936" width="8.85546875" style="21"/>
    <col min="7937" max="7948" width="14.7109375" style="21" bestFit="1" customWidth="1"/>
    <col min="7949" max="7949" width="14" style="21" bestFit="1" customWidth="1"/>
    <col min="7950" max="7952" width="14.7109375" style="21" bestFit="1" customWidth="1"/>
    <col min="7953" max="7953" width="0.42578125" style="21" bestFit="1" customWidth="1"/>
    <col min="7954" max="7954" width="4.7109375" style="21" bestFit="1" customWidth="1"/>
    <col min="7955" max="8192" width="8.85546875" style="21"/>
    <col min="8193" max="8204" width="14.7109375" style="21" bestFit="1" customWidth="1"/>
    <col min="8205" max="8205" width="14" style="21" bestFit="1" customWidth="1"/>
    <col min="8206" max="8208" width="14.7109375" style="21" bestFit="1" customWidth="1"/>
    <col min="8209" max="8209" width="0.42578125" style="21" bestFit="1" customWidth="1"/>
    <col min="8210" max="8210" width="4.7109375" style="21" bestFit="1" customWidth="1"/>
    <col min="8211" max="8448" width="8.85546875" style="21"/>
    <col min="8449" max="8460" width="14.7109375" style="21" bestFit="1" customWidth="1"/>
    <col min="8461" max="8461" width="14" style="21" bestFit="1" customWidth="1"/>
    <col min="8462" max="8464" width="14.7109375" style="21" bestFit="1" customWidth="1"/>
    <col min="8465" max="8465" width="0.42578125" style="21" bestFit="1" customWidth="1"/>
    <col min="8466" max="8466" width="4.7109375" style="21" bestFit="1" customWidth="1"/>
    <col min="8467" max="8704" width="8.85546875" style="21"/>
    <col min="8705" max="8716" width="14.7109375" style="21" bestFit="1" customWidth="1"/>
    <col min="8717" max="8717" width="14" style="21" bestFit="1" customWidth="1"/>
    <col min="8718" max="8720" width="14.7109375" style="21" bestFit="1" customWidth="1"/>
    <col min="8721" max="8721" width="0.42578125" style="21" bestFit="1" customWidth="1"/>
    <col min="8722" max="8722" width="4.7109375" style="21" bestFit="1" customWidth="1"/>
    <col min="8723" max="8960" width="8.85546875" style="21"/>
    <col min="8961" max="8972" width="14.7109375" style="21" bestFit="1" customWidth="1"/>
    <col min="8973" max="8973" width="14" style="21" bestFit="1" customWidth="1"/>
    <col min="8974" max="8976" width="14.7109375" style="21" bestFit="1" customWidth="1"/>
    <col min="8977" max="8977" width="0.42578125" style="21" bestFit="1" customWidth="1"/>
    <col min="8978" max="8978" width="4.7109375" style="21" bestFit="1" customWidth="1"/>
    <col min="8979" max="9216" width="8.85546875" style="21"/>
    <col min="9217" max="9228" width="14.7109375" style="21" bestFit="1" customWidth="1"/>
    <col min="9229" max="9229" width="14" style="21" bestFit="1" customWidth="1"/>
    <col min="9230" max="9232" width="14.7109375" style="21" bestFit="1" customWidth="1"/>
    <col min="9233" max="9233" width="0.42578125" style="21" bestFit="1" customWidth="1"/>
    <col min="9234" max="9234" width="4.7109375" style="21" bestFit="1" customWidth="1"/>
    <col min="9235" max="9472" width="8.85546875" style="21"/>
    <col min="9473" max="9484" width="14.7109375" style="21" bestFit="1" customWidth="1"/>
    <col min="9485" max="9485" width="14" style="21" bestFit="1" customWidth="1"/>
    <col min="9486" max="9488" width="14.7109375" style="21" bestFit="1" customWidth="1"/>
    <col min="9489" max="9489" width="0.42578125" style="21" bestFit="1" customWidth="1"/>
    <col min="9490" max="9490" width="4.7109375" style="21" bestFit="1" customWidth="1"/>
    <col min="9491" max="9728" width="8.85546875" style="21"/>
    <col min="9729" max="9740" width="14.7109375" style="21" bestFit="1" customWidth="1"/>
    <col min="9741" max="9741" width="14" style="21" bestFit="1" customWidth="1"/>
    <col min="9742" max="9744" width="14.7109375" style="21" bestFit="1" customWidth="1"/>
    <col min="9745" max="9745" width="0.42578125" style="21" bestFit="1" customWidth="1"/>
    <col min="9746" max="9746" width="4.7109375" style="21" bestFit="1" customWidth="1"/>
    <col min="9747" max="9984" width="8.85546875" style="21"/>
    <col min="9985" max="9996" width="14.7109375" style="21" bestFit="1" customWidth="1"/>
    <col min="9997" max="9997" width="14" style="21" bestFit="1" customWidth="1"/>
    <col min="9998" max="10000" width="14.7109375" style="21" bestFit="1" customWidth="1"/>
    <col min="10001" max="10001" width="0.42578125" style="21" bestFit="1" customWidth="1"/>
    <col min="10002" max="10002" width="4.7109375" style="21" bestFit="1" customWidth="1"/>
    <col min="10003" max="10240" width="8.85546875" style="21"/>
    <col min="10241" max="10252" width="14.7109375" style="21" bestFit="1" customWidth="1"/>
    <col min="10253" max="10253" width="14" style="21" bestFit="1" customWidth="1"/>
    <col min="10254" max="10256" width="14.7109375" style="21" bestFit="1" customWidth="1"/>
    <col min="10257" max="10257" width="0.42578125" style="21" bestFit="1" customWidth="1"/>
    <col min="10258" max="10258" width="4.7109375" style="21" bestFit="1" customWidth="1"/>
    <col min="10259" max="10496" width="8.85546875" style="21"/>
    <col min="10497" max="10508" width="14.7109375" style="21" bestFit="1" customWidth="1"/>
    <col min="10509" max="10509" width="14" style="21" bestFit="1" customWidth="1"/>
    <col min="10510" max="10512" width="14.7109375" style="21" bestFit="1" customWidth="1"/>
    <col min="10513" max="10513" width="0.42578125" style="21" bestFit="1" customWidth="1"/>
    <col min="10514" max="10514" width="4.7109375" style="21" bestFit="1" customWidth="1"/>
    <col min="10515" max="10752" width="8.85546875" style="21"/>
    <col min="10753" max="10764" width="14.7109375" style="21" bestFit="1" customWidth="1"/>
    <col min="10765" max="10765" width="14" style="21" bestFit="1" customWidth="1"/>
    <col min="10766" max="10768" width="14.7109375" style="21" bestFit="1" customWidth="1"/>
    <col min="10769" max="10769" width="0.42578125" style="21" bestFit="1" customWidth="1"/>
    <col min="10770" max="10770" width="4.7109375" style="21" bestFit="1" customWidth="1"/>
    <col min="10771" max="11008" width="8.85546875" style="21"/>
    <col min="11009" max="11020" width="14.7109375" style="21" bestFit="1" customWidth="1"/>
    <col min="11021" max="11021" width="14" style="21" bestFit="1" customWidth="1"/>
    <col min="11022" max="11024" width="14.7109375" style="21" bestFit="1" customWidth="1"/>
    <col min="11025" max="11025" width="0.42578125" style="21" bestFit="1" customWidth="1"/>
    <col min="11026" max="11026" width="4.7109375" style="21" bestFit="1" customWidth="1"/>
    <col min="11027" max="11264" width="8.85546875" style="21"/>
    <col min="11265" max="11276" width="14.7109375" style="21" bestFit="1" customWidth="1"/>
    <col min="11277" max="11277" width="14" style="21" bestFit="1" customWidth="1"/>
    <col min="11278" max="11280" width="14.7109375" style="21" bestFit="1" customWidth="1"/>
    <col min="11281" max="11281" width="0.42578125" style="21" bestFit="1" customWidth="1"/>
    <col min="11282" max="11282" width="4.7109375" style="21" bestFit="1" customWidth="1"/>
    <col min="11283" max="11520" width="8.85546875" style="21"/>
    <col min="11521" max="11532" width="14.7109375" style="21" bestFit="1" customWidth="1"/>
    <col min="11533" max="11533" width="14" style="21" bestFit="1" customWidth="1"/>
    <col min="11534" max="11536" width="14.7109375" style="21" bestFit="1" customWidth="1"/>
    <col min="11537" max="11537" width="0.42578125" style="21" bestFit="1" customWidth="1"/>
    <col min="11538" max="11538" width="4.7109375" style="21" bestFit="1" customWidth="1"/>
    <col min="11539" max="11776" width="8.85546875" style="21"/>
    <col min="11777" max="11788" width="14.7109375" style="21" bestFit="1" customWidth="1"/>
    <col min="11789" max="11789" width="14" style="21" bestFit="1" customWidth="1"/>
    <col min="11790" max="11792" width="14.7109375" style="21" bestFit="1" customWidth="1"/>
    <col min="11793" max="11793" width="0.42578125" style="21" bestFit="1" customWidth="1"/>
    <col min="11794" max="11794" width="4.7109375" style="21" bestFit="1" customWidth="1"/>
    <col min="11795" max="12032" width="8.85546875" style="21"/>
    <col min="12033" max="12044" width="14.7109375" style="21" bestFit="1" customWidth="1"/>
    <col min="12045" max="12045" width="14" style="21" bestFit="1" customWidth="1"/>
    <col min="12046" max="12048" width="14.7109375" style="21" bestFit="1" customWidth="1"/>
    <col min="12049" max="12049" width="0.42578125" style="21" bestFit="1" customWidth="1"/>
    <col min="12050" max="12050" width="4.7109375" style="21" bestFit="1" customWidth="1"/>
    <col min="12051" max="12288" width="8.85546875" style="21"/>
    <col min="12289" max="12300" width="14.7109375" style="21" bestFit="1" customWidth="1"/>
    <col min="12301" max="12301" width="14" style="21" bestFit="1" customWidth="1"/>
    <col min="12302" max="12304" width="14.7109375" style="21" bestFit="1" customWidth="1"/>
    <col min="12305" max="12305" width="0.42578125" style="21" bestFit="1" customWidth="1"/>
    <col min="12306" max="12306" width="4.7109375" style="21" bestFit="1" customWidth="1"/>
    <col min="12307" max="12544" width="8.85546875" style="21"/>
    <col min="12545" max="12556" width="14.7109375" style="21" bestFit="1" customWidth="1"/>
    <col min="12557" max="12557" width="14" style="21" bestFit="1" customWidth="1"/>
    <col min="12558" max="12560" width="14.7109375" style="21" bestFit="1" customWidth="1"/>
    <col min="12561" max="12561" width="0.42578125" style="21" bestFit="1" customWidth="1"/>
    <col min="12562" max="12562" width="4.7109375" style="21" bestFit="1" customWidth="1"/>
    <col min="12563" max="12800" width="8.85546875" style="21"/>
    <col min="12801" max="12812" width="14.7109375" style="21" bestFit="1" customWidth="1"/>
    <col min="12813" max="12813" width="14" style="21" bestFit="1" customWidth="1"/>
    <col min="12814" max="12816" width="14.7109375" style="21" bestFit="1" customWidth="1"/>
    <col min="12817" max="12817" width="0.42578125" style="21" bestFit="1" customWidth="1"/>
    <col min="12818" max="12818" width="4.7109375" style="21" bestFit="1" customWidth="1"/>
    <col min="12819" max="13056" width="8.85546875" style="21"/>
    <col min="13057" max="13068" width="14.7109375" style="21" bestFit="1" customWidth="1"/>
    <col min="13069" max="13069" width="14" style="21" bestFit="1" customWidth="1"/>
    <col min="13070" max="13072" width="14.7109375" style="21" bestFit="1" customWidth="1"/>
    <col min="13073" max="13073" width="0.42578125" style="21" bestFit="1" customWidth="1"/>
    <col min="13074" max="13074" width="4.7109375" style="21" bestFit="1" customWidth="1"/>
    <col min="13075" max="13312" width="8.85546875" style="21"/>
    <col min="13313" max="13324" width="14.7109375" style="21" bestFit="1" customWidth="1"/>
    <col min="13325" max="13325" width="14" style="21" bestFit="1" customWidth="1"/>
    <col min="13326" max="13328" width="14.7109375" style="21" bestFit="1" customWidth="1"/>
    <col min="13329" max="13329" width="0.42578125" style="21" bestFit="1" customWidth="1"/>
    <col min="13330" max="13330" width="4.7109375" style="21" bestFit="1" customWidth="1"/>
    <col min="13331" max="13568" width="8.85546875" style="21"/>
    <col min="13569" max="13580" width="14.7109375" style="21" bestFit="1" customWidth="1"/>
    <col min="13581" max="13581" width="14" style="21" bestFit="1" customWidth="1"/>
    <col min="13582" max="13584" width="14.7109375" style="21" bestFit="1" customWidth="1"/>
    <col min="13585" max="13585" width="0.42578125" style="21" bestFit="1" customWidth="1"/>
    <col min="13586" max="13586" width="4.7109375" style="21" bestFit="1" customWidth="1"/>
    <col min="13587" max="13824" width="8.85546875" style="21"/>
    <col min="13825" max="13836" width="14.7109375" style="21" bestFit="1" customWidth="1"/>
    <col min="13837" max="13837" width="14" style="21" bestFit="1" customWidth="1"/>
    <col min="13838" max="13840" width="14.7109375" style="21" bestFit="1" customWidth="1"/>
    <col min="13841" max="13841" width="0.42578125" style="21" bestFit="1" customWidth="1"/>
    <col min="13842" max="13842" width="4.7109375" style="21" bestFit="1" customWidth="1"/>
    <col min="13843" max="14080" width="8.85546875" style="21"/>
    <col min="14081" max="14092" width="14.7109375" style="21" bestFit="1" customWidth="1"/>
    <col min="14093" max="14093" width="14" style="21" bestFit="1" customWidth="1"/>
    <col min="14094" max="14096" width="14.7109375" style="21" bestFit="1" customWidth="1"/>
    <col min="14097" max="14097" width="0.42578125" style="21" bestFit="1" customWidth="1"/>
    <col min="14098" max="14098" width="4.7109375" style="21" bestFit="1" customWidth="1"/>
    <col min="14099" max="14336" width="8.85546875" style="21"/>
    <col min="14337" max="14348" width="14.7109375" style="21" bestFit="1" customWidth="1"/>
    <col min="14349" max="14349" width="14" style="21" bestFit="1" customWidth="1"/>
    <col min="14350" max="14352" width="14.7109375" style="21" bestFit="1" customWidth="1"/>
    <col min="14353" max="14353" width="0.42578125" style="21" bestFit="1" customWidth="1"/>
    <col min="14354" max="14354" width="4.7109375" style="21" bestFit="1" customWidth="1"/>
    <col min="14355" max="14592" width="8.85546875" style="21"/>
    <col min="14593" max="14604" width="14.7109375" style="21" bestFit="1" customWidth="1"/>
    <col min="14605" max="14605" width="14" style="21" bestFit="1" customWidth="1"/>
    <col min="14606" max="14608" width="14.7109375" style="21" bestFit="1" customWidth="1"/>
    <col min="14609" max="14609" width="0.42578125" style="21" bestFit="1" customWidth="1"/>
    <col min="14610" max="14610" width="4.7109375" style="21" bestFit="1" customWidth="1"/>
    <col min="14611" max="14848" width="8.85546875" style="21"/>
    <col min="14849" max="14860" width="14.7109375" style="21" bestFit="1" customWidth="1"/>
    <col min="14861" max="14861" width="14" style="21" bestFit="1" customWidth="1"/>
    <col min="14862" max="14864" width="14.7109375" style="21" bestFit="1" customWidth="1"/>
    <col min="14865" max="14865" width="0.42578125" style="21" bestFit="1" customWidth="1"/>
    <col min="14866" max="14866" width="4.7109375" style="21" bestFit="1" customWidth="1"/>
    <col min="14867" max="15104" width="8.85546875" style="21"/>
    <col min="15105" max="15116" width="14.7109375" style="21" bestFit="1" customWidth="1"/>
    <col min="15117" max="15117" width="14" style="21" bestFit="1" customWidth="1"/>
    <col min="15118" max="15120" width="14.7109375" style="21" bestFit="1" customWidth="1"/>
    <col min="15121" max="15121" width="0.42578125" style="21" bestFit="1" customWidth="1"/>
    <col min="15122" max="15122" width="4.7109375" style="21" bestFit="1" customWidth="1"/>
    <col min="15123" max="15360" width="8.85546875" style="21"/>
    <col min="15361" max="15372" width="14.7109375" style="21" bestFit="1" customWidth="1"/>
    <col min="15373" max="15373" width="14" style="21" bestFit="1" customWidth="1"/>
    <col min="15374" max="15376" width="14.7109375" style="21" bestFit="1" customWidth="1"/>
    <col min="15377" max="15377" width="0.42578125" style="21" bestFit="1" customWidth="1"/>
    <col min="15378" max="15378" width="4.7109375" style="21" bestFit="1" customWidth="1"/>
    <col min="15379" max="15616" width="8.85546875" style="21"/>
    <col min="15617" max="15628" width="14.7109375" style="21" bestFit="1" customWidth="1"/>
    <col min="15629" max="15629" width="14" style="21" bestFit="1" customWidth="1"/>
    <col min="15630" max="15632" width="14.7109375" style="21" bestFit="1" customWidth="1"/>
    <col min="15633" max="15633" width="0.42578125" style="21" bestFit="1" customWidth="1"/>
    <col min="15634" max="15634" width="4.7109375" style="21" bestFit="1" customWidth="1"/>
    <col min="15635" max="15872" width="8.85546875" style="21"/>
    <col min="15873" max="15884" width="14.7109375" style="21" bestFit="1" customWidth="1"/>
    <col min="15885" max="15885" width="14" style="21" bestFit="1" customWidth="1"/>
    <col min="15886" max="15888" width="14.7109375" style="21" bestFit="1" customWidth="1"/>
    <col min="15889" max="15889" width="0.42578125" style="21" bestFit="1" customWidth="1"/>
    <col min="15890" max="15890" width="4.7109375" style="21" bestFit="1" customWidth="1"/>
    <col min="15891" max="16128" width="8.85546875" style="21"/>
    <col min="16129" max="16140" width="14.7109375" style="21" bestFit="1" customWidth="1"/>
    <col min="16141" max="16141" width="14" style="21" bestFit="1" customWidth="1"/>
    <col min="16142" max="16144" width="14.7109375" style="21" bestFit="1" customWidth="1"/>
    <col min="16145" max="16145" width="0.42578125" style="21" bestFit="1" customWidth="1"/>
    <col min="16146" max="16146" width="4.7109375" style="21" bestFit="1" customWidth="1"/>
    <col min="16147" max="16384" width="8.85546875" style="21"/>
  </cols>
  <sheetData>
    <row r="1" spans="1:17" ht="18.75" customHeight="1">
      <c r="A1" s="1223" t="s">
        <v>108</v>
      </c>
      <c r="B1" s="1223"/>
      <c r="C1" s="1223"/>
      <c r="D1" s="1223"/>
      <c r="E1" s="1223"/>
      <c r="F1" s="1223"/>
      <c r="G1" s="1223"/>
      <c r="H1" s="1223"/>
      <c r="I1" s="1223"/>
      <c r="J1" s="1223"/>
      <c r="K1" s="1223"/>
      <c r="L1" s="1223"/>
      <c r="M1" s="1223"/>
      <c r="N1" s="1223"/>
      <c r="O1" s="1223"/>
      <c r="P1" s="1223"/>
      <c r="Q1" s="1223"/>
    </row>
    <row r="2" spans="1:17" s="22" customFormat="1" ht="18" customHeight="1">
      <c r="A2" s="1224" t="s">
        <v>51</v>
      </c>
      <c r="B2" s="1224" t="s">
        <v>109</v>
      </c>
      <c r="C2" s="1224" t="s">
        <v>461</v>
      </c>
      <c r="D2" s="1224" t="s">
        <v>110</v>
      </c>
      <c r="E2" s="1224" t="s">
        <v>111</v>
      </c>
      <c r="F2" s="1224" t="s">
        <v>357</v>
      </c>
      <c r="G2" s="1224" t="s">
        <v>358</v>
      </c>
      <c r="H2" s="1224" t="s">
        <v>124</v>
      </c>
      <c r="I2" s="1224" t="s">
        <v>125</v>
      </c>
      <c r="J2" s="1224" t="s">
        <v>432</v>
      </c>
      <c r="K2" s="1224" t="s">
        <v>359</v>
      </c>
      <c r="L2" s="1224" t="s">
        <v>401</v>
      </c>
      <c r="M2" s="1224" t="s">
        <v>402</v>
      </c>
      <c r="N2" s="1271" t="s">
        <v>114</v>
      </c>
      <c r="O2" s="1272"/>
      <c r="P2" s="1273"/>
    </row>
    <row r="3" spans="1:17" s="22" customFormat="1" ht="48.75" customHeight="1">
      <c r="A3" s="1225"/>
      <c r="B3" s="1225"/>
      <c r="C3" s="1225"/>
      <c r="D3" s="1225"/>
      <c r="E3" s="1225"/>
      <c r="F3" s="1225"/>
      <c r="G3" s="1225"/>
      <c r="H3" s="1225"/>
      <c r="I3" s="1225"/>
      <c r="J3" s="1225"/>
      <c r="K3" s="1225"/>
      <c r="L3" s="1225"/>
      <c r="M3" s="1225"/>
      <c r="N3" s="247" t="s">
        <v>115</v>
      </c>
      <c r="O3" s="247" t="s">
        <v>116</v>
      </c>
      <c r="P3" s="247" t="s">
        <v>117</v>
      </c>
    </row>
    <row r="4" spans="1:17" s="23" customFormat="1">
      <c r="A4" s="240" t="s">
        <v>58</v>
      </c>
      <c r="B4" s="222">
        <v>5377</v>
      </c>
      <c r="C4" s="222">
        <v>36</v>
      </c>
      <c r="D4" s="222">
        <v>4089</v>
      </c>
      <c r="E4" s="248">
        <v>247</v>
      </c>
      <c r="F4" s="222">
        <v>3247.6</v>
      </c>
      <c r="G4" s="249">
        <v>573547.84</v>
      </c>
      <c r="H4" s="249">
        <v>660896.02</v>
      </c>
      <c r="I4" s="222">
        <v>2675.6923886640002</v>
      </c>
      <c r="J4" s="222">
        <v>20350.290060351999</v>
      </c>
      <c r="K4" s="249">
        <v>573547.84</v>
      </c>
      <c r="L4" s="249">
        <v>660895.9</v>
      </c>
      <c r="M4" s="250">
        <v>11348756.59</v>
      </c>
      <c r="N4" s="222">
        <v>42273.87</v>
      </c>
      <c r="O4" s="222">
        <v>25638.9</v>
      </c>
      <c r="P4" s="222">
        <v>29468.49</v>
      </c>
    </row>
    <row r="5" spans="1:17" s="23" customFormat="1" ht="18" customHeight="1">
      <c r="A5" s="240" t="s">
        <v>61</v>
      </c>
      <c r="B5" s="222">
        <v>5462</v>
      </c>
      <c r="C5" s="222">
        <v>26</v>
      </c>
      <c r="D5" s="222">
        <v>3909</v>
      </c>
      <c r="E5" s="222">
        <v>228</v>
      </c>
      <c r="F5" s="222">
        <v>4975.09</v>
      </c>
      <c r="G5" s="222">
        <v>944244.98</v>
      </c>
      <c r="H5" s="222">
        <v>939860.7300000001</v>
      </c>
      <c r="I5" s="222">
        <v>4122.1961842105266</v>
      </c>
      <c r="J5" s="222">
        <v>18891.331212098677</v>
      </c>
      <c r="K5" s="222">
        <v>944244.98</v>
      </c>
      <c r="L5" s="222">
        <v>939860.64</v>
      </c>
      <c r="M5" s="222">
        <v>20081095.73</v>
      </c>
      <c r="N5" s="222">
        <v>52516.76</v>
      </c>
      <c r="O5" s="222">
        <v>27500.79</v>
      </c>
      <c r="P5" s="222">
        <v>49099.99</v>
      </c>
    </row>
    <row r="6" spans="1:17" s="22" customFormat="1" ht="18" customHeight="1">
      <c r="A6" s="226" t="s">
        <v>60</v>
      </c>
      <c r="B6" s="208">
        <v>5380</v>
      </c>
      <c r="C6" s="208">
        <v>36</v>
      </c>
      <c r="D6" s="208">
        <v>3352</v>
      </c>
      <c r="E6" s="209">
        <v>18</v>
      </c>
      <c r="F6" s="208">
        <v>349.14</v>
      </c>
      <c r="G6" s="208">
        <v>38886.06</v>
      </c>
      <c r="H6" s="208">
        <v>44476.34</v>
      </c>
      <c r="I6" s="208">
        <v>2470.9077779999998</v>
      </c>
      <c r="J6" s="208">
        <v>12738.82683</v>
      </c>
      <c r="K6" s="208">
        <v>38886.06</v>
      </c>
      <c r="L6" s="208">
        <v>44476.34</v>
      </c>
      <c r="M6" s="251">
        <v>12941620.82</v>
      </c>
      <c r="N6" s="208">
        <v>33887.25</v>
      </c>
      <c r="O6" s="208">
        <v>27500.79</v>
      </c>
      <c r="P6" s="208">
        <v>33717.620000000003</v>
      </c>
    </row>
    <row r="7" spans="1:17" s="22" customFormat="1" ht="18" customHeight="1">
      <c r="A7" s="226" t="s">
        <v>59</v>
      </c>
      <c r="B7" s="208">
        <v>5369</v>
      </c>
      <c r="C7" s="208">
        <v>36</v>
      </c>
      <c r="D7" s="208">
        <v>3303</v>
      </c>
      <c r="E7" s="209">
        <v>19</v>
      </c>
      <c r="F7" s="208">
        <v>314.3</v>
      </c>
      <c r="G7" s="208">
        <v>50830.89</v>
      </c>
      <c r="H7" s="208">
        <v>65018.99</v>
      </c>
      <c r="I7" s="208">
        <v>3422.0521052630002</v>
      </c>
      <c r="J7" s="208">
        <v>20686.920139993999</v>
      </c>
      <c r="K7" s="208">
        <v>50830.89</v>
      </c>
      <c r="L7" s="208">
        <v>65018.97</v>
      </c>
      <c r="M7" s="251">
        <v>12706528.939999999</v>
      </c>
      <c r="N7" s="208">
        <v>32845.480000000003</v>
      </c>
      <c r="O7" s="208">
        <v>29968.45</v>
      </c>
      <c r="P7" s="208">
        <v>32424.1</v>
      </c>
    </row>
    <row r="8" spans="1:17" s="22" customFormat="1" ht="18" customHeight="1">
      <c r="A8" s="226" t="s">
        <v>310</v>
      </c>
      <c r="B8" s="208">
        <v>5377</v>
      </c>
      <c r="C8" s="208">
        <v>28</v>
      </c>
      <c r="D8" s="208">
        <v>3481</v>
      </c>
      <c r="E8" s="209">
        <v>22</v>
      </c>
      <c r="F8" s="208">
        <v>555.78</v>
      </c>
      <c r="G8" s="241">
        <v>108236.37</v>
      </c>
      <c r="H8" s="241">
        <v>110192.7</v>
      </c>
      <c r="I8" s="208">
        <v>5008.7590909090004</v>
      </c>
      <c r="J8" s="208">
        <v>19826.676022887001</v>
      </c>
      <c r="K8" s="241">
        <v>108236.37</v>
      </c>
      <c r="L8" s="241">
        <v>110192.67</v>
      </c>
      <c r="M8" s="251">
        <v>13915689.83</v>
      </c>
      <c r="N8" s="208">
        <v>35706.550000000003</v>
      </c>
      <c r="O8" s="208">
        <v>32348.1</v>
      </c>
      <c r="P8" s="208">
        <v>34915.800000000003</v>
      </c>
    </row>
    <row r="9" spans="1:17" s="22" customFormat="1" ht="18" customHeight="1">
      <c r="A9" s="226" t="s">
        <v>356</v>
      </c>
      <c r="B9" s="208">
        <v>5399</v>
      </c>
      <c r="C9" s="208">
        <v>27</v>
      </c>
      <c r="D9" s="208">
        <v>3624</v>
      </c>
      <c r="E9" s="209">
        <v>23</v>
      </c>
      <c r="F9" s="208">
        <v>513.70000000000005</v>
      </c>
      <c r="G9" s="208">
        <v>98513.1</v>
      </c>
      <c r="H9" s="208">
        <v>80092.740000000005</v>
      </c>
      <c r="I9" s="208">
        <v>3482.2930434780001</v>
      </c>
      <c r="J9" s="208">
        <v>15591.34514308</v>
      </c>
      <c r="K9" s="208">
        <v>98513.1</v>
      </c>
      <c r="L9" s="208">
        <v>80092.73</v>
      </c>
      <c r="M9" s="251">
        <v>14739115.83</v>
      </c>
      <c r="N9" s="208">
        <v>38617.03</v>
      </c>
      <c r="O9" s="208">
        <v>34927.199999999997</v>
      </c>
      <c r="P9" s="208">
        <v>37606.89</v>
      </c>
    </row>
    <row r="10" spans="1:17" s="22" customFormat="1" ht="18" customHeight="1">
      <c r="A10" s="226" t="s">
        <v>384</v>
      </c>
      <c r="B10" s="208">
        <v>5413</v>
      </c>
      <c r="C10" s="208">
        <v>27</v>
      </c>
      <c r="D10" s="208">
        <v>3605</v>
      </c>
      <c r="E10" s="209">
        <v>21</v>
      </c>
      <c r="F10" s="208">
        <v>484.21</v>
      </c>
      <c r="G10" s="208">
        <v>99670</v>
      </c>
      <c r="H10" s="208">
        <v>93079.96</v>
      </c>
      <c r="I10" s="208">
        <v>4432.3790476189997</v>
      </c>
      <c r="J10" s="208">
        <v>19223.056112017999</v>
      </c>
      <c r="K10" s="208">
        <v>99670</v>
      </c>
      <c r="L10" s="208">
        <v>93079.99</v>
      </c>
      <c r="M10" s="251">
        <v>15376302.710000001</v>
      </c>
      <c r="N10" s="208">
        <v>40010.17</v>
      </c>
      <c r="O10" s="208">
        <v>36911.230000000003</v>
      </c>
      <c r="P10" s="208">
        <v>38628.29</v>
      </c>
    </row>
    <row r="11" spans="1:17" s="22" customFormat="1" ht="18" customHeight="1">
      <c r="A11" s="207">
        <v>44075</v>
      </c>
      <c r="B11" s="208">
        <v>5428</v>
      </c>
      <c r="C11" s="208">
        <v>28</v>
      </c>
      <c r="D11" s="208">
        <v>3587</v>
      </c>
      <c r="E11" s="209">
        <v>22</v>
      </c>
      <c r="F11" s="208">
        <v>402.69</v>
      </c>
      <c r="G11" s="208">
        <v>78826.509999999995</v>
      </c>
      <c r="H11" s="208">
        <v>70025.27</v>
      </c>
      <c r="I11" s="208">
        <v>3182.9668181820002</v>
      </c>
      <c r="J11" s="208">
        <v>17389.373960117999</v>
      </c>
      <c r="K11" s="208">
        <v>78826.509999999995</v>
      </c>
      <c r="L11" s="208">
        <v>70025.27</v>
      </c>
      <c r="M11" s="251">
        <v>15524267.369999999</v>
      </c>
      <c r="N11" s="208">
        <v>39359.51</v>
      </c>
      <c r="O11" s="208">
        <v>36495.980000000003</v>
      </c>
      <c r="P11" s="208">
        <v>38067.93</v>
      </c>
    </row>
    <row r="12" spans="1:17" s="22" customFormat="1" ht="18" customHeight="1">
      <c r="A12" s="207" t="s">
        <v>392</v>
      </c>
      <c r="B12" s="208">
        <v>5437</v>
      </c>
      <c r="C12" s="208">
        <v>28</v>
      </c>
      <c r="D12" s="208">
        <v>3543</v>
      </c>
      <c r="E12" s="209">
        <v>21</v>
      </c>
      <c r="F12" s="208">
        <v>364.27</v>
      </c>
      <c r="G12" s="208">
        <v>54524.33</v>
      </c>
      <c r="H12" s="208">
        <v>57866.31</v>
      </c>
      <c r="I12" s="208">
        <v>2755.5385714290001</v>
      </c>
      <c r="J12" s="208">
        <v>15885.554670985999</v>
      </c>
      <c r="K12" s="208">
        <v>54524.33</v>
      </c>
      <c r="L12" s="208">
        <v>57866.31</v>
      </c>
      <c r="M12" s="251">
        <v>15792249.91</v>
      </c>
      <c r="N12" s="208">
        <v>41048.050000000003</v>
      </c>
      <c r="O12" s="208">
        <v>38410.199999999997</v>
      </c>
      <c r="P12" s="208">
        <v>39614.07</v>
      </c>
    </row>
    <row r="13" spans="1:17" s="22" customFormat="1" ht="18" customHeight="1">
      <c r="A13" s="226" t="s">
        <v>396</v>
      </c>
      <c r="B13" s="208">
        <v>5442</v>
      </c>
      <c r="C13" s="208">
        <v>28</v>
      </c>
      <c r="D13" s="208">
        <v>3551</v>
      </c>
      <c r="E13" s="209">
        <v>20</v>
      </c>
      <c r="F13" s="208">
        <v>412.17000000000013</v>
      </c>
      <c r="G13" s="208">
        <v>68336.34</v>
      </c>
      <c r="H13" s="208">
        <v>70675.89</v>
      </c>
      <c r="I13" s="208">
        <v>3533.7945</v>
      </c>
      <c r="J13" s="208">
        <v>17147.266904432632</v>
      </c>
      <c r="K13" s="208">
        <v>68336.34</v>
      </c>
      <c r="L13" s="208">
        <v>70675.87999999999</v>
      </c>
      <c r="M13" s="251">
        <v>17414859.59</v>
      </c>
      <c r="N13" s="208">
        <v>44825.37</v>
      </c>
      <c r="O13" s="208">
        <v>39334.92</v>
      </c>
      <c r="P13" s="208">
        <v>44149.72</v>
      </c>
    </row>
    <row r="14" spans="1:17" s="22" customFormat="1" ht="18" customHeight="1">
      <c r="A14" s="226" t="s">
        <v>460</v>
      </c>
      <c r="B14" s="208">
        <v>5454</v>
      </c>
      <c r="C14" s="208">
        <v>28</v>
      </c>
      <c r="D14" s="208">
        <v>3662</v>
      </c>
      <c r="E14" s="209">
        <v>22</v>
      </c>
      <c r="F14" s="208">
        <v>538.81000000000006</v>
      </c>
      <c r="G14" s="208">
        <v>130255.78</v>
      </c>
      <c r="H14" s="208">
        <v>99414.8</v>
      </c>
      <c r="I14" s="208">
        <v>4518.8545454545456</v>
      </c>
      <c r="J14" s="208">
        <v>18450.808262652881</v>
      </c>
      <c r="K14" s="208">
        <v>130255.78000000001</v>
      </c>
      <c r="L14" s="208">
        <v>99414.8</v>
      </c>
      <c r="M14" s="251">
        <v>18803518.600000001</v>
      </c>
      <c r="N14" s="208">
        <v>47896.97</v>
      </c>
      <c r="O14" s="208">
        <v>44118.1</v>
      </c>
      <c r="P14" s="208">
        <v>47751.33</v>
      </c>
    </row>
    <row r="15" spans="1:17" s="22" customFormat="1" ht="18" customHeight="1">
      <c r="A15" s="226" t="s">
        <v>1095</v>
      </c>
      <c r="B15" s="208">
        <v>5455</v>
      </c>
      <c r="C15" s="208">
        <v>26</v>
      </c>
      <c r="D15" s="208">
        <v>3666</v>
      </c>
      <c r="E15" s="209">
        <v>20</v>
      </c>
      <c r="F15" s="208">
        <v>507.16</v>
      </c>
      <c r="G15" s="208">
        <v>115055.25</v>
      </c>
      <c r="H15" s="208">
        <v>104063.22</v>
      </c>
      <c r="I15" s="208">
        <v>5203.1610000000001</v>
      </c>
      <c r="J15" s="208">
        <v>20518.814575281998</v>
      </c>
      <c r="K15" s="208">
        <v>115055.25</v>
      </c>
      <c r="L15" s="208">
        <v>104063.18</v>
      </c>
      <c r="M15" s="251">
        <v>18612644.030000001</v>
      </c>
      <c r="N15" s="208">
        <v>50184.01</v>
      </c>
      <c r="O15" s="208">
        <v>46160.46</v>
      </c>
      <c r="P15" s="208">
        <v>46285.77</v>
      </c>
    </row>
    <row r="16" spans="1:17" s="22" customFormat="1" ht="18" customHeight="1">
      <c r="A16" s="226" t="s">
        <v>1184</v>
      </c>
      <c r="B16" s="208">
        <v>5462</v>
      </c>
      <c r="C16" s="208">
        <v>26</v>
      </c>
      <c r="D16" s="208">
        <v>3664</v>
      </c>
      <c r="E16" s="209">
        <v>20</v>
      </c>
      <c r="F16" s="208">
        <v>532.86</v>
      </c>
      <c r="G16" s="208">
        <v>101110.35</v>
      </c>
      <c r="H16" s="208">
        <v>144954.51</v>
      </c>
      <c r="I16" s="208">
        <v>7247.7254999999996</v>
      </c>
      <c r="J16" s="208">
        <v>27203.113388131998</v>
      </c>
      <c r="K16" s="208">
        <v>101110.35</v>
      </c>
      <c r="L16" s="208">
        <v>144954.5</v>
      </c>
      <c r="M16" s="251">
        <v>20081095.73</v>
      </c>
      <c r="N16" s="208">
        <v>52516.76</v>
      </c>
      <c r="O16" s="208">
        <v>46433.65</v>
      </c>
      <c r="P16" s="208">
        <v>49099.99</v>
      </c>
    </row>
    <row r="17" spans="1:16" s="22" customFormat="1" ht="18" customHeight="1">
      <c r="A17" s="29" t="s">
        <v>354</v>
      </c>
      <c r="B17" s="34"/>
      <c r="C17" s="34"/>
      <c r="D17" s="34"/>
      <c r="E17" s="38"/>
      <c r="F17" s="34"/>
      <c r="G17" s="35"/>
      <c r="H17" s="35"/>
    </row>
    <row r="18" spans="1:16" s="22" customFormat="1" ht="19.5" customHeight="1">
      <c r="A18" s="1180" t="s">
        <v>1173</v>
      </c>
      <c r="B18" s="1180"/>
      <c r="C18" s="1180"/>
      <c r="D18" s="1180"/>
      <c r="E18" s="1180"/>
      <c r="F18" s="1180"/>
      <c r="G18" s="1180"/>
      <c r="H18" s="1180"/>
    </row>
    <row r="19" spans="1:16" s="22" customFormat="1" ht="19.5" customHeight="1">
      <c r="A19" s="1180" t="s">
        <v>118</v>
      </c>
      <c r="B19" s="1180"/>
      <c r="C19" s="1180"/>
      <c r="D19" s="1180"/>
      <c r="E19" s="1180"/>
      <c r="F19" s="1180"/>
      <c r="G19" s="1180"/>
      <c r="H19" s="1180"/>
    </row>
    <row r="20" spans="1:16" s="22" customFormat="1" ht="24.6" customHeight="1"/>
    <row r="22" spans="1:16" hidden="1">
      <c r="E22" s="71">
        <f>SUM(E6:E13)</f>
        <v>166</v>
      </c>
      <c r="F22" s="71">
        <f t="shared" ref="F22:L22" si="0">SUM(F6:F13)</f>
        <v>3396.26</v>
      </c>
      <c r="G22" s="71">
        <f t="shared" si="0"/>
        <v>597823.6</v>
      </c>
      <c r="H22" s="71">
        <f t="shared" si="0"/>
        <v>591428.19999999995</v>
      </c>
      <c r="I22" s="71">
        <f t="shared" si="0"/>
        <v>28288.690954879999</v>
      </c>
      <c r="J22" s="71">
        <f>SUM(J6:J13)</f>
        <v>138489.01978351566</v>
      </c>
      <c r="K22" s="71">
        <f t="shared" si="0"/>
        <v>597823.6</v>
      </c>
      <c r="L22" s="71">
        <f t="shared" si="0"/>
        <v>591428.15999999992</v>
      </c>
    </row>
    <row r="23" spans="1:16" hidden="1">
      <c r="E23" s="151">
        <f>E5-E22</f>
        <v>62</v>
      </c>
      <c r="F23" s="151">
        <f t="shared" ref="F23:L23" si="1">F5-F22</f>
        <v>1578.83</v>
      </c>
      <c r="G23" s="151">
        <f t="shared" si="1"/>
        <v>346421.38</v>
      </c>
      <c r="H23" s="151">
        <f t="shared" si="1"/>
        <v>348432.53000000014</v>
      </c>
      <c r="I23" s="151">
        <f>I22/8</f>
        <v>3536.0863693599999</v>
      </c>
      <c r="J23" s="151">
        <f>J22/8</f>
        <v>17311.127472939457</v>
      </c>
      <c r="K23" s="151">
        <f t="shared" si="1"/>
        <v>346421.38</v>
      </c>
      <c r="L23" s="151">
        <f t="shared" si="1"/>
        <v>348432.4800000001</v>
      </c>
      <c r="M23" s="151"/>
      <c r="N23" s="151"/>
      <c r="O23" s="151"/>
      <c r="P23" s="151"/>
    </row>
    <row r="24" spans="1:16" hidden="1"/>
    <row r="25" spans="1:16" hidden="1">
      <c r="I25" s="33">
        <f t="shared" ref="I25:I32" si="2">H6/E6</f>
        <v>2470.9077777777775</v>
      </c>
      <c r="J25" s="33">
        <f t="shared" ref="J25:J32" si="3">I25-I6</f>
        <v>-2.2222229745239019E-7</v>
      </c>
      <c r="K25" s="33">
        <f t="shared" ref="K25:K32" si="4">H6/F6*100</f>
        <v>12738.826831643466</v>
      </c>
      <c r="L25" s="33">
        <f t="shared" ref="L25:L32" si="5">K25-J6</f>
        <v>1.6434660210506991E-6</v>
      </c>
    </row>
    <row r="26" spans="1:16" hidden="1">
      <c r="I26" s="33">
        <f t="shared" si="2"/>
        <v>3422.052105263158</v>
      </c>
      <c r="J26" s="33">
        <f t="shared" si="3"/>
        <v>1.5779733075760305E-10</v>
      </c>
      <c r="K26" s="33">
        <f t="shared" si="4"/>
        <v>20686.920139993636</v>
      </c>
      <c r="L26" s="33">
        <f t="shared" si="5"/>
        <v>-3.637978807091713E-10</v>
      </c>
    </row>
    <row r="27" spans="1:16" hidden="1">
      <c r="I27" s="33">
        <f t="shared" si="2"/>
        <v>5008.7590909090904</v>
      </c>
      <c r="J27" s="33">
        <f t="shared" si="3"/>
        <v>9.0039975475519896E-11</v>
      </c>
      <c r="K27" s="33">
        <f t="shared" si="4"/>
        <v>19826.676022886757</v>
      </c>
      <c r="L27" s="33">
        <f t="shared" si="5"/>
        <v>-2.4374458007514477E-10</v>
      </c>
    </row>
    <row r="28" spans="1:16" hidden="1">
      <c r="I28" s="33">
        <f t="shared" si="2"/>
        <v>3482.2930434782611</v>
      </c>
      <c r="J28" s="33">
        <f t="shared" si="3"/>
        <v>2.610249794088304E-10</v>
      </c>
      <c r="K28" s="33">
        <f t="shared" si="4"/>
        <v>15591.345143079619</v>
      </c>
      <c r="L28" s="33">
        <f t="shared" si="5"/>
        <v>-3.80168785341084E-10</v>
      </c>
    </row>
    <row r="29" spans="1:16" hidden="1">
      <c r="I29" s="33">
        <f t="shared" si="2"/>
        <v>4432.3790476190479</v>
      </c>
      <c r="J29" s="33">
        <f t="shared" si="3"/>
        <v>4.8203219193965197E-11</v>
      </c>
      <c r="K29" s="33">
        <f t="shared" si="4"/>
        <v>19223.056112017515</v>
      </c>
      <c r="L29" s="33">
        <f t="shared" si="5"/>
        <v>-4.8385118134319782E-10</v>
      </c>
    </row>
    <row r="30" spans="1:16" hidden="1">
      <c r="I30" s="33">
        <f t="shared" si="2"/>
        <v>3182.9668181818183</v>
      </c>
      <c r="J30" s="33">
        <f t="shared" si="3"/>
        <v>-1.8189894035458565E-10</v>
      </c>
      <c r="K30" s="33">
        <f t="shared" si="4"/>
        <v>17389.373960118206</v>
      </c>
      <c r="L30" s="33">
        <f t="shared" si="5"/>
        <v>2.0736479200422764E-10</v>
      </c>
    </row>
    <row r="31" spans="1:16" hidden="1">
      <c r="I31" s="33">
        <f t="shared" si="2"/>
        <v>2755.5385714285712</v>
      </c>
      <c r="J31" s="33">
        <f t="shared" si="3"/>
        <v>-4.2882675188593566E-10</v>
      </c>
      <c r="K31" s="33">
        <f t="shared" si="4"/>
        <v>15885.554670985806</v>
      </c>
      <c r="L31" s="33">
        <f t="shared" si="5"/>
        <v>-1.9281287677586079E-10</v>
      </c>
    </row>
    <row r="32" spans="1:16" hidden="1">
      <c r="I32" s="33">
        <f t="shared" si="2"/>
        <v>3533.7945</v>
      </c>
      <c r="J32" s="33">
        <f t="shared" si="3"/>
        <v>0</v>
      </c>
      <c r="K32" s="33">
        <f t="shared" si="4"/>
        <v>17147.266904432632</v>
      </c>
      <c r="L32" s="33">
        <f t="shared" si="5"/>
        <v>0</v>
      </c>
    </row>
    <row r="33" hidden="1"/>
    <row r="34" hidden="1"/>
  </sheetData>
  <mergeCells count="17">
    <mergeCell ref="A19:H19"/>
    <mergeCell ref="J2:J3"/>
    <mergeCell ref="K2:K3"/>
    <mergeCell ref="L2:L3"/>
    <mergeCell ref="M2:M3"/>
    <mergeCell ref="N2:P2"/>
    <mergeCell ref="A18:H18"/>
    <mergeCell ref="A1:Q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20"/>
  <sheetViews>
    <sheetView workbookViewId="0">
      <selection activeCell="I27" sqref="I27"/>
    </sheetView>
  </sheetViews>
  <sheetFormatPr defaultColWidth="8.85546875" defaultRowHeight="15"/>
  <cols>
    <col min="1" max="1" width="22.85546875" style="21" bestFit="1" customWidth="1"/>
    <col min="2" max="16" width="14.7109375" style="21" bestFit="1" customWidth="1"/>
    <col min="17" max="17" width="4.7109375" style="21" bestFit="1" customWidth="1"/>
    <col min="18" max="256" width="8.85546875" style="21"/>
    <col min="257" max="272" width="14.7109375" style="21" bestFit="1" customWidth="1"/>
    <col min="273" max="273" width="4.7109375" style="21" bestFit="1" customWidth="1"/>
    <col min="274" max="512" width="8.85546875" style="21"/>
    <col min="513" max="528" width="14.7109375" style="21" bestFit="1" customWidth="1"/>
    <col min="529" max="529" width="4.7109375" style="21" bestFit="1" customWidth="1"/>
    <col min="530" max="768" width="8.85546875" style="21"/>
    <col min="769" max="784" width="14.7109375" style="21" bestFit="1" customWidth="1"/>
    <col min="785" max="785" width="4.7109375" style="21" bestFit="1" customWidth="1"/>
    <col min="786" max="1024" width="8.85546875" style="21"/>
    <col min="1025" max="1040" width="14.7109375" style="21" bestFit="1" customWidth="1"/>
    <col min="1041" max="1041" width="4.7109375" style="21" bestFit="1" customWidth="1"/>
    <col min="1042" max="1280" width="8.85546875" style="21"/>
    <col min="1281" max="1296" width="14.7109375" style="21" bestFit="1" customWidth="1"/>
    <col min="1297" max="1297" width="4.7109375" style="21" bestFit="1" customWidth="1"/>
    <col min="1298" max="1536" width="8.85546875" style="21"/>
    <col min="1537" max="1552" width="14.7109375" style="21" bestFit="1" customWidth="1"/>
    <col min="1553" max="1553" width="4.7109375" style="21" bestFit="1" customWidth="1"/>
    <col min="1554" max="1792" width="8.85546875" style="21"/>
    <col min="1793" max="1808" width="14.7109375" style="21" bestFit="1" customWidth="1"/>
    <col min="1809" max="1809" width="4.7109375" style="21" bestFit="1" customWidth="1"/>
    <col min="1810" max="2048" width="8.85546875" style="21"/>
    <col min="2049" max="2064" width="14.7109375" style="21" bestFit="1" customWidth="1"/>
    <col min="2065" max="2065" width="4.7109375" style="21" bestFit="1" customWidth="1"/>
    <col min="2066" max="2304" width="8.85546875" style="21"/>
    <col min="2305" max="2320" width="14.7109375" style="21" bestFit="1" customWidth="1"/>
    <col min="2321" max="2321" width="4.7109375" style="21" bestFit="1" customWidth="1"/>
    <col min="2322" max="2560" width="8.85546875" style="21"/>
    <col min="2561" max="2576" width="14.7109375" style="21" bestFit="1" customWidth="1"/>
    <col min="2577" max="2577" width="4.7109375" style="21" bestFit="1" customWidth="1"/>
    <col min="2578" max="2816" width="8.85546875" style="21"/>
    <col min="2817" max="2832" width="14.7109375" style="21" bestFit="1" customWidth="1"/>
    <col min="2833" max="2833" width="4.7109375" style="21" bestFit="1" customWidth="1"/>
    <col min="2834" max="3072" width="8.85546875" style="21"/>
    <col min="3073" max="3088" width="14.7109375" style="21" bestFit="1" customWidth="1"/>
    <col min="3089" max="3089" width="4.7109375" style="21" bestFit="1" customWidth="1"/>
    <col min="3090" max="3328" width="8.85546875" style="21"/>
    <col min="3329" max="3344" width="14.7109375" style="21" bestFit="1" customWidth="1"/>
    <col min="3345" max="3345" width="4.7109375" style="21" bestFit="1" customWidth="1"/>
    <col min="3346" max="3584" width="8.85546875" style="21"/>
    <col min="3585" max="3600" width="14.7109375" style="21" bestFit="1" customWidth="1"/>
    <col min="3601" max="3601" width="4.7109375" style="21" bestFit="1" customWidth="1"/>
    <col min="3602" max="3840" width="8.85546875" style="21"/>
    <col min="3841" max="3856" width="14.7109375" style="21" bestFit="1" customWidth="1"/>
    <col min="3857" max="3857" width="4.7109375" style="21" bestFit="1" customWidth="1"/>
    <col min="3858" max="4096" width="8.85546875" style="21"/>
    <col min="4097" max="4112" width="14.7109375" style="21" bestFit="1" customWidth="1"/>
    <col min="4113" max="4113" width="4.7109375" style="21" bestFit="1" customWidth="1"/>
    <col min="4114" max="4352" width="8.85546875" style="21"/>
    <col min="4353" max="4368" width="14.7109375" style="21" bestFit="1" customWidth="1"/>
    <col min="4369" max="4369" width="4.7109375" style="21" bestFit="1" customWidth="1"/>
    <col min="4370" max="4608" width="8.85546875" style="21"/>
    <col min="4609" max="4624" width="14.7109375" style="21" bestFit="1" customWidth="1"/>
    <col min="4625" max="4625" width="4.7109375" style="21" bestFit="1" customWidth="1"/>
    <col min="4626" max="4864" width="8.85546875" style="21"/>
    <col min="4865" max="4880" width="14.7109375" style="21" bestFit="1" customWidth="1"/>
    <col min="4881" max="4881" width="4.7109375" style="21" bestFit="1" customWidth="1"/>
    <col min="4882" max="5120" width="8.85546875" style="21"/>
    <col min="5121" max="5136" width="14.7109375" style="21" bestFit="1" customWidth="1"/>
    <col min="5137" max="5137" width="4.7109375" style="21" bestFit="1" customWidth="1"/>
    <col min="5138" max="5376" width="8.85546875" style="21"/>
    <col min="5377" max="5392" width="14.7109375" style="21" bestFit="1" customWidth="1"/>
    <col min="5393" max="5393" width="4.7109375" style="21" bestFit="1" customWidth="1"/>
    <col min="5394" max="5632" width="8.85546875" style="21"/>
    <col min="5633" max="5648" width="14.7109375" style="21" bestFit="1" customWidth="1"/>
    <col min="5649" max="5649" width="4.7109375" style="21" bestFit="1" customWidth="1"/>
    <col min="5650" max="5888" width="8.85546875" style="21"/>
    <col min="5889" max="5904" width="14.7109375" style="21" bestFit="1" customWidth="1"/>
    <col min="5905" max="5905" width="4.7109375" style="21" bestFit="1" customWidth="1"/>
    <col min="5906" max="6144" width="8.85546875" style="21"/>
    <col min="6145" max="6160" width="14.7109375" style="21" bestFit="1" customWidth="1"/>
    <col min="6161" max="6161" width="4.7109375" style="21" bestFit="1" customWidth="1"/>
    <col min="6162" max="6400" width="8.85546875" style="21"/>
    <col min="6401" max="6416" width="14.7109375" style="21" bestFit="1" customWidth="1"/>
    <col min="6417" max="6417" width="4.7109375" style="21" bestFit="1" customWidth="1"/>
    <col min="6418" max="6656" width="8.85546875" style="21"/>
    <col min="6657" max="6672" width="14.7109375" style="21" bestFit="1" customWidth="1"/>
    <col min="6673" max="6673" width="4.7109375" style="21" bestFit="1" customWidth="1"/>
    <col min="6674" max="6912" width="8.85546875" style="21"/>
    <col min="6913" max="6928" width="14.7109375" style="21" bestFit="1" customWidth="1"/>
    <col min="6929" max="6929" width="4.7109375" style="21" bestFit="1" customWidth="1"/>
    <col min="6930" max="7168" width="8.85546875" style="21"/>
    <col min="7169" max="7184" width="14.7109375" style="21" bestFit="1" customWidth="1"/>
    <col min="7185" max="7185" width="4.7109375" style="21" bestFit="1" customWidth="1"/>
    <col min="7186" max="7424" width="8.85546875" style="21"/>
    <col min="7425" max="7440" width="14.7109375" style="21" bestFit="1" customWidth="1"/>
    <col min="7441" max="7441" width="4.7109375" style="21" bestFit="1" customWidth="1"/>
    <col min="7442" max="7680" width="8.85546875" style="21"/>
    <col min="7681" max="7696" width="14.7109375" style="21" bestFit="1" customWidth="1"/>
    <col min="7697" max="7697" width="4.7109375" style="21" bestFit="1" customWidth="1"/>
    <col min="7698" max="7936" width="8.85546875" style="21"/>
    <col min="7937" max="7952" width="14.7109375" style="21" bestFit="1" customWidth="1"/>
    <col min="7953" max="7953" width="4.7109375" style="21" bestFit="1" customWidth="1"/>
    <col min="7954" max="8192" width="8.85546875" style="21"/>
    <col min="8193" max="8208" width="14.7109375" style="21" bestFit="1" customWidth="1"/>
    <col min="8209" max="8209" width="4.7109375" style="21" bestFit="1" customWidth="1"/>
    <col min="8210" max="8448" width="8.85546875" style="21"/>
    <col min="8449" max="8464" width="14.7109375" style="21" bestFit="1" customWidth="1"/>
    <col min="8465" max="8465" width="4.7109375" style="21" bestFit="1" customWidth="1"/>
    <col min="8466" max="8704" width="8.85546875" style="21"/>
    <col min="8705" max="8720" width="14.7109375" style="21" bestFit="1" customWidth="1"/>
    <col min="8721" max="8721" width="4.7109375" style="21" bestFit="1" customWidth="1"/>
    <col min="8722" max="8960" width="8.85546875" style="21"/>
    <col min="8961" max="8976" width="14.7109375" style="21" bestFit="1" customWidth="1"/>
    <col min="8977" max="8977" width="4.7109375" style="21" bestFit="1" customWidth="1"/>
    <col min="8978" max="9216" width="8.85546875" style="21"/>
    <col min="9217" max="9232" width="14.7109375" style="21" bestFit="1" customWidth="1"/>
    <col min="9233" max="9233" width="4.7109375" style="21" bestFit="1" customWidth="1"/>
    <col min="9234" max="9472" width="8.85546875" style="21"/>
    <col min="9473" max="9488" width="14.7109375" style="21" bestFit="1" customWidth="1"/>
    <col min="9489" max="9489" width="4.7109375" style="21" bestFit="1" customWidth="1"/>
    <col min="9490" max="9728" width="8.85546875" style="21"/>
    <col min="9729" max="9744" width="14.7109375" style="21" bestFit="1" customWidth="1"/>
    <col min="9745" max="9745" width="4.7109375" style="21" bestFit="1" customWidth="1"/>
    <col min="9746" max="9984" width="8.85546875" style="21"/>
    <col min="9985" max="10000" width="14.7109375" style="21" bestFit="1" customWidth="1"/>
    <col min="10001" max="10001" width="4.7109375" style="21" bestFit="1" customWidth="1"/>
    <col min="10002" max="10240" width="8.85546875" style="21"/>
    <col min="10241" max="10256" width="14.7109375" style="21" bestFit="1" customWidth="1"/>
    <col min="10257" max="10257" width="4.7109375" style="21" bestFit="1" customWidth="1"/>
    <col min="10258" max="10496" width="8.85546875" style="21"/>
    <col min="10497" max="10512" width="14.7109375" style="21" bestFit="1" customWidth="1"/>
    <col min="10513" max="10513" width="4.7109375" style="21" bestFit="1" customWidth="1"/>
    <col min="10514" max="10752" width="8.85546875" style="21"/>
    <col min="10753" max="10768" width="14.7109375" style="21" bestFit="1" customWidth="1"/>
    <col min="10769" max="10769" width="4.7109375" style="21" bestFit="1" customWidth="1"/>
    <col min="10770" max="11008" width="8.85546875" style="21"/>
    <col min="11009" max="11024" width="14.7109375" style="21" bestFit="1" customWidth="1"/>
    <col min="11025" max="11025" width="4.7109375" style="21" bestFit="1" customWidth="1"/>
    <col min="11026" max="11264" width="8.85546875" style="21"/>
    <col min="11265" max="11280" width="14.7109375" style="21" bestFit="1" customWidth="1"/>
    <col min="11281" max="11281" width="4.7109375" style="21" bestFit="1" customWidth="1"/>
    <col min="11282" max="11520" width="8.85546875" style="21"/>
    <col min="11521" max="11536" width="14.7109375" style="21" bestFit="1" customWidth="1"/>
    <col min="11537" max="11537" width="4.7109375" style="21" bestFit="1" customWidth="1"/>
    <col min="11538" max="11776" width="8.85546875" style="21"/>
    <col min="11777" max="11792" width="14.7109375" style="21" bestFit="1" customWidth="1"/>
    <col min="11793" max="11793" width="4.7109375" style="21" bestFit="1" customWidth="1"/>
    <col min="11794" max="12032" width="8.85546875" style="21"/>
    <col min="12033" max="12048" width="14.7109375" style="21" bestFit="1" customWidth="1"/>
    <col min="12049" max="12049" width="4.7109375" style="21" bestFit="1" customWidth="1"/>
    <col min="12050" max="12288" width="8.85546875" style="21"/>
    <col min="12289" max="12304" width="14.7109375" style="21" bestFit="1" customWidth="1"/>
    <col min="12305" max="12305" width="4.7109375" style="21" bestFit="1" customWidth="1"/>
    <col min="12306" max="12544" width="8.85546875" style="21"/>
    <col min="12545" max="12560" width="14.7109375" style="21" bestFit="1" customWidth="1"/>
    <col min="12561" max="12561" width="4.7109375" style="21" bestFit="1" customWidth="1"/>
    <col min="12562" max="12800" width="8.85546875" style="21"/>
    <col min="12801" max="12816" width="14.7109375" style="21" bestFit="1" customWidth="1"/>
    <col min="12817" max="12817" width="4.7109375" style="21" bestFit="1" customWidth="1"/>
    <col min="12818" max="13056" width="8.85546875" style="21"/>
    <col min="13057" max="13072" width="14.7109375" style="21" bestFit="1" customWidth="1"/>
    <col min="13073" max="13073" width="4.7109375" style="21" bestFit="1" customWidth="1"/>
    <col min="13074" max="13312" width="8.85546875" style="21"/>
    <col min="13313" max="13328" width="14.7109375" style="21" bestFit="1" customWidth="1"/>
    <col min="13329" max="13329" width="4.7109375" style="21" bestFit="1" customWidth="1"/>
    <col min="13330" max="13568" width="8.85546875" style="21"/>
    <col min="13569" max="13584" width="14.7109375" style="21" bestFit="1" customWidth="1"/>
    <col min="13585" max="13585" width="4.7109375" style="21" bestFit="1" customWidth="1"/>
    <col min="13586" max="13824" width="8.85546875" style="21"/>
    <col min="13825" max="13840" width="14.7109375" style="21" bestFit="1" customWidth="1"/>
    <col min="13841" max="13841" width="4.7109375" style="21" bestFit="1" customWidth="1"/>
    <col min="13842" max="14080" width="8.85546875" style="21"/>
    <col min="14081" max="14096" width="14.7109375" style="21" bestFit="1" customWidth="1"/>
    <col min="14097" max="14097" width="4.7109375" style="21" bestFit="1" customWidth="1"/>
    <col min="14098" max="14336" width="8.85546875" style="21"/>
    <col min="14337" max="14352" width="14.7109375" style="21" bestFit="1" customWidth="1"/>
    <col min="14353" max="14353" width="4.7109375" style="21" bestFit="1" customWidth="1"/>
    <col min="14354" max="14592" width="8.85546875" style="21"/>
    <col min="14593" max="14608" width="14.7109375" style="21" bestFit="1" customWidth="1"/>
    <col min="14609" max="14609" width="4.7109375" style="21" bestFit="1" customWidth="1"/>
    <col min="14610" max="14848" width="8.85546875" style="21"/>
    <col min="14849" max="14864" width="14.7109375" style="21" bestFit="1" customWidth="1"/>
    <col min="14865" max="14865" width="4.7109375" style="21" bestFit="1" customWidth="1"/>
    <col min="14866" max="15104" width="8.85546875" style="21"/>
    <col min="15105" max="15120" width="14.7109375" style="21" bestFit="1" customWidth="1"/>
    <col min="15121" max="15121" width="4.7109375" style="21" bestFit="1" customWidth="1"/>
    <col min="15122" max="15360" width="8.85546875" style="21"/>
    <col min="15361" max="15376" width="14.7109375" style="21" bestFit="1" customWidth="1"/>
    <col min="15377" max="15377" width="4.7109375" style="21" bestFit="1" customWidth="1"/>
    <col min="15378" max="15616" width="8.85546875" style="21"/>
    <col min="15617" max="15632" width="14.7109375" style="21" bestFit="1" customWidth="1"/>
    <col min="15633" max="15633" width="4.7109375" style="21" bestFit="1" customWidth="1"/>
    <col min="15634" max="15872" width="8.85546875" style="21"/>
    <col min="15873" max="15888" width="14.7109375" style="21" bestFit="1" customWidth="1"/>
    <col min="15889" max="15889" width="4.7109375" style="21" bestFit="1" customWidth="1"/>
    <col min="15890" max="16128" width="8.85546875" style="21"/>
    <col min="16129" max="16144" width="14.7109375" style="21" bestFit="1" customWidth="1"/>
    <col min="16145" max="16145" width="4.7109375" style="21" bestFit="1" customWidth="1"/>
    <col min="16146" max="16384" width="8.85546875" style="21"/>
  </cols>
  <sheetData>
    <row r="1" spans="1:16" ht="14.25" customHeight="1">
      <c r="A1" s="1236" t="s">
        <v>119</v>
      </c>
      <c r="B1" s="1236"/>
      <c r="C1" s="1236"/>
      <c r="D1" s="1236"/>
      <c r="E1" s="1236"/>
      <c r="F1" s="1236"/>
      <c r="G1" s="1236"/>
      <c r="H1" s="1236"/>
      <c r="I1" s="1236"/>
      <c r="J1" s="1236"/>
      <c r="K1" s="1236"/>
      <c r="L1" s="1236"/>
      <c r="M1" s="1236"/>
      <c r="N1" s="1236"/>
      <c r="O1" s="1236"/>
      <c r="P1" s="1236"/>
    </row>
    <row r="2" spans="1:16" s="22" customFormat="1" ht="18.75" customHeight="1">
      <c r="A2" s="1224" t="s">
        <v>51</v>
      </c>
      <c r="B2" s="1224" t="s">
        <v>109</v>
      </c>
      <c r="C2" s="1224" t="s">
        <v>461</v>
      </c>
      <c r="D2" s="1224" t="s">
        <v>110</v>
      </c>
      <c r="E2" s="1224" t="s">
        <v>111</v>
      </c>
      <c r="F2" s="1224" t="s">
        <v>357</v>
      </c>
      <c r="G2" s="1224" t="s">
        <v>358</v>
      </c>
      <c r="H2" s="1224" t="s">
        <v>124</v>
      </c>
      <c r="I2" s="1224" t="s">
        <v>403</v>
      </c>
      <c r="J2" s="1224" t="s">
        <v>462</v>
      </c>
      <c r="K2" s="1224" t="s">
        <v>359</v>
      </c>
      <c r="L2" s="1224" t="s">
        <v>112</v>
      </c>
      <c r="M2" s="1224" t="s">
        <v>113</v>
      </c>
      <c r="N2" s="1271" t="s">
        <v>120</v>
      </c>
      <c r="O2" s="1272"/>
      <c r="P2" s="1273"/>
    </row>
    <row r="3" spans="1:16" s="22" customFormat="1" ht="39.75" customHeight="1">
      <c r="A3" s="1225"/>
      <c r="B3" s="1225"/>
      <c r="C3" s="1225"/>
      <c r="D3" s="1225"/>
      <c r="E3" s="1225"/>
      <c r="F3" s="1225"/>
      <c r="G3" s="1225"/>
      <c r="H3" s="1225"/>
      <c r="I3" s="1225"/>
      <c r="J3" s="1225"/>
      <c r="K3" s="1225"/>
      <c r="L3" s="1225"/>
      <c r="M3" s="1225"/>
      <c r="N3" s="247" t="s">
        <v>115</v>
      </c>
      <c r="O3" s="247" t="s">
        <v>116</v>
      </c>
      <c r="P3" s="247" t="s">
        <v>117</v>
      </c>
    </row>
    <row r="4" spans="1:16" s="25" customFormat="1" ht="18" customHeight="1">
      <c r="A4" s="236" t="s">
        <v>58</v>
      </c>
      <c r="B4" s="252">
        <v>1949</v>
      </c>
      <c r="C4" s="248">
        <v>18</v>
      </c>
      <c r="D4" s="252">
        <v>1989</v>
      </c>
      <c r="E4" s="252">
        <v>247</v>
      </c>
      <c r="F4" s="237">
        <v>31459.712469999999</v>
      </c>
      <c r="G4" s="238">
        <v>4674056.682</v>
      </c>
      <c r="H4" s="238">
        <v>8998811.0710000005</v>
      </c>
      <c r="I4" s="237">
        <v>36432.43348</v>
      </c>
      <c r="J4" s="237">
        <v>28604.238130000002</v>
      </c>
      <c r="K4" s="238">
        <v>4674056.682</v>
      </c>
      <c r="L4" s="238">
        <v>8998811.0710000005</v>
      </c>
      <c r="M4" s="253">
        <v>11243111.77</v>
      </c>
      <c r="N4" s="222">
        <v>12430.5</v>
      </c>
      <c r="O4" s="222">
        <v>7511.1</v>
      </c>
      <c r="P4" s="222">
        <v>8597.75</v>
      </c>
    </row>
    <row r="5" spans="1:16" s="23" customFormat="1" ht="18" customHeight="1">
      <c r="A5" s="240" t="s">
        <v>61</v>
      </c>
      <c r="B5" s="248">
        <v>1957</v>
      </c>
      <c r="C5" s="248">
        <v>24</v>
      </c>
      <c r="D5" s="248">
        <v>2018</v>
      </c>
      <c r="E5" s="248">
        <v>228</v>
      </c>
      <c r="F5" s="222">
        <v>42002.381739999997</v>
      </c>
      <c r="G5" s="249">
        <v>6784097.5779999997</v>
      </c>
      <c r="H5" s="1163">
        <v>13998961.4</v>
      </c>
      <c r="I5" s="222">
        <v>61398.953520000003</v>
      </c>
      <c r="J5" s="222">
        <v>33328.970459999997</v>
      </c>
      <c r="K5" s="249">
        <v>6784097.5779999997</v>
      </c>
      <c r="L5" s="249">
        <v>13998961.4</v>
      </c>
      <c r="M5" s="249">
        <v>19963825.620000001</v>
      </c>
      <c r="N5" s="222">
        <v>15431.75</v>
      </c>
      <c r="O5" s="222">
        <v>8055.8</v>
      </c>
      <c r="P5" s="222">
        <v>14529.15</v>
      </c>
    </row>
    <row r="6" spans="1:16" s="22" customFormat="1" ht="18" customHeight="1">
      <c r="A6" s="226" t="s">
        <v>60</v>
      </c>
      <c r="B6" s="209">
        <v>1949</v>
      </c>
      <c r="C6" s="209">
        <v>18</v>
      </c>
      <c r="D6" s="209">
        <v>1855</v>
      </c>
      <c r="E6" s="209">
        <v>18</v>
      </c>
      <c r="F6" s="208">
        <v>3606.19038</v>
      </c>
      <c r="G6" s="241">
        <v>427307.91</v>
      </c>
      <c r="H6" s="241">
        <v>905802.22</v>
      </c>
      <c r="I6" s="208">
        <v>50322.345560000002</v>
      </c>
      <c r="J6" s="208">
        <v>25117.98115</v>
      </c>
      <c r="K6" s="241">
        <v>427307.91</v>
      </c>
      <c r="L6" s="241">
        <v>905802.22</v>
      </c>
      <c r="M6" s="251">
        <v>12738625.880000001</v>
      </c>
      <c r="N6" s="208">
        <v>9889.0499999999993</v>
      </c>
      <c r="O6" s="208">
        <v>8055.8</v>
      </c>
      <c r="P6" s="208">
        <v>9859.9</v>
      </c>
    </row>
    <row r="7" spans="1:16" s="22" customFormat="1" ht="18" customHeight="1">
      <c r="A7" s="226" t="s">
        <v>59</v>
      </c>
      <c r="B7" s="209">
        <v>1947</v>
      </c>
      <c r="C7" s="209">
        <v>18</v>
      </c>
      <c r="D7" s="209">
        <v>1854</v>
      </c>
      <c r="E7" s="209">
        <v>19</v>
      </c>
      <c r="F7" s="208">
        <v>3417.96702</v>
      </c>
      <c r="G7" s="241">
        <v>493359.26549999998</v>
      </c>
      <c r="H7" s="241">
        <v>1000456.48</v>
      </c>
      <c r="I7" s="208">
        <v>52655.604209999998</v>
      </c>
      <c r="J7" s="208">
        <v>29270.51297</v>
      </c>
      <c r="K7" s="241">
        <v>493359.26549999998</v>
      </c>
      <c r="L7" s="241">
        <v>1000456.48</v>
      </c>
      <c r="M7" s="251">
        <v>12516959.59</v>
      </c>
      <c r="N7" s="208">
        <v>9598.85</v>
      </c>
      <c r="O7" s="208">
        <v>8806.75</v>
      </c>
      <c r="P7" s="208">
        <v>9580.2999999999993</v>
      </c>
    </row>
    <row r="8" spans="1:16" s="22" customFormat="1" ht="18" customHeight="1">
      <c r="A8" s="226" t="s">
        <v>310</v>
      </c>
      <c r="B8" s="209">
        <v>1944</v>
      </c>
      <c r="C8" s="209">
        <v>18</v>
      </c>
      <c r="D8" s="209">
        <v>1872</v>
      </c>
      <c r="E8" s="209">
        <v>22</v>
      </c>
      <c r="F8" s="208">
        <v>4304.0271700000003</v>
      </c>
      <c r="G8" s="241">
        <v>845760.36840000004</v>
      </c>
      <c r="H8" s="241">
        <v>1350680.7239999999</v>
      </c>
      <c r="I8" s="208">
        <v>61394.57836</v>
      </c>
      <c r="J8" s="208">
        <v>31381.788970000001</v>
      </c>
      <c r="K8" s="241">
        <v>845760.36840000004</v>
      </c>
      <c r="L8" s="241">
        <v>1350680.7239999999</v>
      </c>
      <c r="M8" s="251">
        <v>13804601.48</v>
      </c>
      <c r="N8" s="208">
        <v>10553.15</v>
      </c>
      <c r="O8" s="208">
        <v>9544.35</v>
      </c>
      <c r="P8" s="208">
        <v>10302.1</v>
      </c>
    </row>
    <row r="9" spans="1:16" s="22" customFormat="1" ht="18" customHeight="1">
      <c r="A9" s="226" t="s">
        <v>356</v>
      </c>
      <c r="B9" s="209">
        <v>1941</v>
      </c>
      <c r="C9" s="209">
        <v>18</v>
      </c>
      <c r="D9" s="209">
        <v>1886</v>
      </c>
      <c r="E9" s="209">
        <v>23</v>
      </c>
      <c r="F9" s="208">
        <v>3950.4627099999998</v>
      </c>
      <c r="G9" s="241">
        <v>667758.13970000006</v>
      </c>
      <c r="H9" s="241">
        <v>1348520.9850000001</v>
      </c>
      <c r="I9" s="208">
        <v>58631.347159999998</v>
      </c>
      <c r="J9" s="208">
        <v>34135.77304</v>
      </c>
      <c r="K9" s="241">
        <v>667758.13970000006</v>
      </c>
      <c r="L9" s="241">
        <v>1348520.9850000001</v>
      </c>
      <c r="M9" s="251">
        <v>14629658.609999999</v>
      </c>
      <c r="N9" s="208">
        <v>11341.4</v>
      </c>
      <c r="O9" s="208">
        <v>10299.6</v>
      </c>
      <c r="P9" s="208">
        <v>11073.45</v>
      </c>
    </row>
    <row r="10" spans="1:16" s="22" customFormat="1" ht="18" customHeight="1">
      <c r="A10" s="226" t="s">
        <v>384</v>
      </c>
      <c r="B10" s="209">
        <v>1943</v>
      </c>
      <c r="C10" s="209">
        <v>18</v>
      </c>
      <c r="D10" s="209">
        <v>1886</v>
      </c>
      <c r="E10" s="209">
        <v>21</v>
      </c>
      <c r="F10" s="208">
        <v>3783.65128</v>
      </c>
      <c r="G10" s="241">
        <v>659450.22499999998</v>
      </c>
      <c r="H10" s="241">
        <v>1282556.5349999999</v>
      </c>
      <c r="I10" s="208">
        <v>61074.120699999999</v>
      </c>
      <c r="J10" s="208">
        <v>33897.324030000003</v>
      </c>
      <c r="K10" s="241">
        <v>659450.22499999998</v>
      </c>
      <c r="L10" s="241">
        <v>1282556.5349999999</v>
      </c>
      <c r="M10" s="251">
        <v>15234206.699999999</v>
      </c>
      <c r="N10" s="208">
        <v>11794.25</v>
      </c>
      <c r="O10" s="208">
        <v>10882.25</v>
      </c>
      <c r="P10" s="208">
        <v>11387.5</v>
      </c>
    </row>
    <row r="11" spans="1:16" s="22" customFormat="1" ht="18" customHeight="1">
      <c r="A11" s="226" t="s">
        <v>386</v>
      </c>
      <c r="B11" s="209">
        <v>1946</v>
      </c>
      <c r="C11" s="209">
        <v>18</v>
      </c>
      <c r="D11" s="209">
        <v>1892</v>
      </c>
      <c r="E11" s="209">
        <v>22</v>
      </c>
      <c r="F11" s="208">
        <v>3596.4906099999998</v>
      </c>
      <c r="G11" s="241">
        <v>574785.84840000002</v>
      </c>
      <c r="H11" s="241">
        <v>1223328.7339999999</v>
      </c>
      <c r="I11" s="208">
        <v>55605.851519999997</v>
      </c>
      <c r="J11" s="208">
        <v>34014.5121</v>
      </c>
      <c r="K11" s="241">
        <v>574785.84840000002</v>
      </c>
      <c r="L11" s="241">
        <v>1223328.7339999999</v>
      </c>
      <c r="M11" s="251">
        <v>15304722.35</v>
      </c>
      <c r="N11" s="208">
        <v>11618.1</v>
      </c>
      <c r="O11" s="208">
        <v>10790.2</v>
      </c>
      <c r="P11" s="208">
        <v>11247.55</v>
      </c>
    </row>
    <row r="12" spans="1:16" s="22" customFormat="1" ht="18" customHeight="1">
      <c r="A12" s="207" t="s">
        <v>392</v>
      </c>
      <c r="B12" s="209">
        <v>1959</v>
      </c>
      <c r="C12" s="209">
        <v>22</v>
      </c>
      <c r="D12" s="209">
        <v>1908</v>
      </c>
      <c r="E12" s="209">
        <v>21</v>
      </c>
      <c r="F12" s="208">
        <v>3181.93019</v>
      </c>
      <c r="G12" s="241">
        <v>418797.67969999998</v>
      </c>
      <c r="H12" s="241">
        <v>1098883.7649999999</v>
      </c>
      <c r="I12" s="208">
        <v>52327.798309999998</v>
      </c>
      <c r="J12" s="208">
        <v>34535.131159999997</v>
      </c>
      <c r="K12" s="241">
        <v>418797.67969999998</v>
      </c>
      <c r="L12" s="241">
        <v>1098883.7649999999</v>
      </c>
      <c r="M12" s="251">
        <v>15587902.939999999</v>
      </c>
      <c r="N12" s="208">
        <v>12025.45</v>
      </c>
      <c r="O12" s="208">
        <v>11347.05</v>
      </c>
      <c r="P12" s="208">
        <v>11642.4</v>
      </c>
    </row>
    <row r="13" spans="1:16" s="22" customFormat="1" ht="18" customHeight="1">
      <c r="A13" s="226" t="s">
        <v>396</v>
      </c>
      <c r="B13" s="254">
        <v>1959</v>
      </c>
      <c r="C13" s="254">
        <v>22</v>
      </c>
      <c r="D13" s="254">
        <v>1899</v>
      </c>
      <c r="E13" s="254">
        <v>20</v>
      </c>
      <c r="F13" s="208">
        <v>3438.1594500000001</v>
      </c>
      <c r="G13" s="241">
        <v>530520.07845000003</v>
      </c>
      <c r="H13" s="241">
        <v>1337271.9151294169</v>
      </c>
      <c r="I13" s="208">
        <v>66863.600000000006</v>
      </c>
      <c r="J13" s="208">
        <v>38894.994100000004</v>
      </c>
      <c r="K13" s="241">
        <v>530520.07845000003</v>
      </c>
      <c r="L13" s="241">
        <v>1337271.9151294169</v>
      </c>
      <c r="M13" s="251">
        <v>17271314.4541067</v>
      </c>
      <c r="N13" s="208">
        <v>13145.85</v>
      </c>
      <c r="O13" s="208">
        <v>11557.4</v>
      </c>
      <c r="P13" s="208">
        <v>12968.95</v>
      </c>
    </row>
    <row r="14" spans="1:16" s="22" customFormat="1" ht="18" customHeight="1">
      <c r="A14" s="226" t="s">
        <v>457</v>
      </c>
      <c r="B14" s="254">
        <v>1962</v>
      </c>
      <c r="C14" s="254">
        <v>22</v>
      </c>
      <c r="D14" s="254">
        <v>1908</v>
      </c>
      <c r="E14" s="254">
        <v>22</v>
      </c>
      <c r="F14" s="208">
        <v>4087.6571899999999</v>
      </c>
      <c r="G14" s="241">
        <v>739170.49829999998</v>
      </c>
      <c r="H14" s="241">
        <v>1374551.531</v>
      </c>
      <c r="I14" s="208">
        <v>62479.615039999997</v>
      </c>
      <c r="J14" s="208">
        <v>33626.878850000001</v>
      </c>
      <c r="K14" s="241">
        <v>739170.49829999998</v>
      </c>
      <c r="L14" s="241">
        <v>1374551.531</v>
      </c>
      <c r="M14" s="251">
        <v>18646768.600000001</v>
      </c>
      <c r="N14" s="208">
        <v>14024.85</v>
      </c>
      <c r="O14" s="208">
        <v>12962.8</v>
      </c>
      <c r="P14" s="208">
        <v>13981.75</v>
      </c>
    </row>
    <row r="15" spans="1:16" s="22" customFormat="1" ht="18" customHeight="1">
      <c r="A15" s="226" t="s">
        <v>1095</v>
      </c>
      <c r="B15" s="254">
        <v>1965</v>
      </c>
      <c r="C15" s="254">
        <v>22</v>
      </c>
      <c r="D15" s="254">
        <v>1930</v>
      </c>
      <c r="E15" s="254">
        <v>20</v>
      </c>
      <c r="F15" s="208">
        <v>4077.9807900000001</v>
      </c>
      <c r="G15" s="241">
        <v>710573.81460000004</v>
      </c>
      <c r="H15" s="241">
        <v>1449444.895</v>
      </c>
      <c r="I15" s="208">
        <v>72472.244730000006</v>
      </c>
      <c r="J15" s="208">
        <v>35543.200649999999</v>
      </c>
      <c r="K15" s="241">
        <v>710573.81460000004</v>
      </c>
      <c r="L15" s="241">
        <v>1449444.895</v>
      </c>
      <c r="M15" s="251">
        <v>18474450.219999999</v>
      </c>
      <c r="N15" s="208">
        <v>14753.55</v>
      </c>
      <c r="O15" s="208">
        <v>13596.75</v>
      </c>
      <c r="P15" s="208">
        <v>13634.6</v>
      </c>
    </row>
    <row r="16" spans="1:16" s="22" customFormat="1" ht="18" customHeight="1">
      <c r="A16" s="226" t="s">
        <v>1184</v>
      </c>
      <c r="B16" s="254">
        <v>1957</v>
      </c>
      <c r="C16" s="254">
        <v>24</v>
      </c>
      <c r="D16" s="254">
        <v>1937</v>
      </c>
      <c r="E16" s="254">
        <v>20</v>
      </c>
      <c r="F16" s="208">
        <v>4557.8649500000001</v>
      </c>
      <c r="G16" s="241">
        <v>716613.74990000005</v>
      </c>
      <c r="H16" s="241">
        <v>1627463.62</v>
      </c>
      <c r="I16" s="208">
        <v>81373.180989999993</v>
      </c>
      <c r="J16" s="208">
        <v>35706.71</v>
      </c>
      <c r="K16" s="241">
        <v>716613.74990000005</v>
      </c>
      <c r="L16" s="241">
        <v>1627463.62</v>
      </c>
      <c r="M16" s="251">
        <v>19963825.620000001</v>
      </c>
      <c r="N16" s="208">
        <v>15431.75</v>
      </c>
      <c r="O16" s="208">
        <v>13661.75</v>
      </c>
      <c r="P16" s="208">
        <v>14529.15</v>
      </c>
    </row>
    <row r="17" spans="1:8" s="24" customFormat="1" ht="15" customHeight="1">
      <c r="A17" s="28" t="s">
        <v>354</v>
      </c>
      <c r="B17" s="31"/>
      <c r="C17" s="38"/>
      <c r="D17" s="31"/>
      <c r="E17" s="31"/>
      <c r="F17" s="26"/>
      <c r="G17" s="32"/>
      <c r="H17" s="32"/>
    </row>
    <row r="18" spans="1:8" s="24" customFormat="1" ht="13.5" customHeight="1">
      <c r="A18" s="1274" t="s">
        <v>121</v>
      </c>
      <c r="B18" s="1274"/>
      <c r="C18" s="1274"/>
      <c r="D18" s="1274"/>
      <c r="E18" s="1274"/>
      <c r="F18" s="1274"/>
      <c r="G18" s="1274"/>
      <c r="H18" s="1274"/>
    </row>
    <row r="19" spans="1:8" s="24" customFormat="1" ht="13.5" customHeight="1">
      <c r="A19" s="1274" t="s">
        <v>1173</v>
      </c>
      <c r="B19" s="1274"/>
      <c r="C19" s="1274"/>
      <c r="D19" s="1274"/>
      <c r="E19" s="1274"/>
      <c r="F19" s="1274"/>
      <c r="G19" s="1274"/>
      <c r="H19" s="1274"/>
    </row>
    <row r="20" spans="1:8" s="24" customFormat="1">
      <c r="A20" s="193" t="s">
        <v>122</v>
      </c>
      <c r="B20" s="193"/>
      <c r="C20" s="193"/>
      <c r="D20" s="193"/>
      <c r="E20" s="193"/>
      <c r="F20" s="193"/>
      <c r="G20" s="193"/>
      <c r="H20" s="193"/>
    </row>
  </sheetData>
  <mergeCells count="17">
    <mergeCell ref="A19:H19"/>
    <mergeCell ref="J2:J3"/>
    <mergeCell ref="K2:K3"/>
    <mergeCell ref="L2:L3"/>
    <mergeCell ref="M2:M3"/>
    <mergeCell ref="N2:P2"/>
    <mergeCell ref="A18:H18"/>
    <mergeCell ref="A1:P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7"/>
  <sheetViews>
    <sheetView topLeftCell="A22" zoomScaleNormal="100" workbookViewId="0">
      <selection activeCell="B63" sqref="B63"/>
    </sheetView>
  </sheetViews>
  <sheetFormatPr defaultColWidth="8.85546875" defaultRowHeight="15"/>
  <cols>
    <col min="1" max="1" width="48.42578125" style="21" customWidth="1"/>
    <col min="2" max="2" width="20.140625" style="21" customWidth="1"/>
    <col min="3" max="3" width="17" style="21" customWidth="1"/>
    <col min="4" max="4" width="17.85546875" style="21" bestFit="1" customWidth="1"/>
    <col min="5" max="16384" width="8.85546875" style="21"/>
  </cols>
  <sheetData>
    <row r="1" spans="1:21" ht="15.75" customHeight="1">
      <c r="A1" s="1178" t="s">
        <v>314</v>
      </c>
      <c r="B1" s="1178"/>
      <c r="C1" s="1178"/>
      <c r="D1" s="22"/>
    </row>
    <row r="2" spans="1:21" s="22" customFormat="1" ht="19.5" customHeight="1">
      <c r="A2" s="518" t="s">
        <v>316</v>
      </c>
      <c r="B2" s="370" t="s">
        <v>58</v>
      </c>
      <c r="C2" s="370" t="s">
        <v>61</v>
      </c>
    </row>
    <row r="3" spans="1:21" s="22" customFormat="1" ht="19.5" customHeight="1">
      <c r="A3" s="371" t="s">
        <v>411</v>
      </c>
      <c r="B3" s="318" t="s">
        <v>410</v>
      </c>
      <c r="C3" s="318">
        <v>7</v>
      </c>
    </row>
    <row r="4" spans="1:21" s="22" customFormat="1" ht="19.5" customHeight="1">
      <c r="A4" s="372" t="s">
        <v>412</v>
      </c>
      <c r="B4" s="318"/>
      <c r="C4" s="318"/>
    </row>
    <row r="5" spans="1:21" s="22" customFormat="1" ht="18" customHeight="1">
      <c r="A5" s="373" t="s">
        <v>413</v>
      </c>
      <c r="B5" s="374">
        <v>3</v>
      </c>
      <c r="C5" s="374">
        <v>3</v>
      </c>
    </row>
    <row r="6" spans="1:21" s="22" customFormat="1" ht="18" customHeight="1">
      <c r="A6" s="373" t="s">
        <v>414</v>
      </c>
      <c r="B6" s="375">
        <v>3</v>
      </c>
      <c r="C6" s="375">
        <v>3</v>
      </c>
    </row>
    <row r="7" spans="1:21" s="22" customFormat="1" ht="18" customHeight="1">
      <c r="A7" s="373" t="s">
        <v>415</v>
      </c>
      <c r="B7" s="375">
        <v>3</v>
      </c>
      <c r="C7" s="375">
        <v>3</v>
      </c>
    </row>
    <row r="8" spans="1:21" s="22" customFormat="1" ht="18" customHeight="1">
      <c r="A8" s="373" t="s">
        <v>416</v>
      </c>
      <c r="B8" s="375">
        <v>5</v>
      </c>
      <c r="C8" s="375">
        <v>5</v>
      </c>
    </row>
    <row r="9" spans="1:21" s="22" customFormat="1" ht="18" customHeight="1">
      <c r="A9" s="373" t="s">
        <v>1083</v>
      </c>
      <c r="B9" s="376">
        <v>2</v>
      </c>
      <c r="C9" s="376">
        <v>0</v>
      </c>
      <c r="F9" s="37"/>
    </row>
    <row r="10" spans="1:21" s="22" customFormat="1" ht="18" customHeight="1">
      <c r="A10" s="372" t="s">
        <v>8</v>
      </c>
      <c r="B10" s="377">
        <v>4249</v>
      </c>
      <c r="C10" s="377">
        <v>4661</v>
      </c>
    </row>
    <row r="11" spans="1:21" s="22" customFormat="1" ht="18" customHeight="1">
      <c r="A11" s="372" t="s">
        <v>9</v>
      </c>
      <c r="B11" s="377">
        <v>3460</v>
      </c>
      <c r="C11" s="377">
        <v>3608</v>
      </c>
      <c r="F11" s="37"/>
    </row>
    <row r="12" spans="1:21" s="22" customFormat="1" ht="18" customHeight="1">
      <c r="A12" s="372" t="s">
        <v>10</v>
      </c>
      <c r="B12" s="377">
        <v>2708</v>
      </c>
      <c r="C12" s="377">
        <v>2787</v>
      </c>
    </row>
    <row r="13" spans="1:21" s="22" customFormat="1" ht="18" customHeight="1">
      <c r="A13" s="372" t="s">
        <v>11</v>
      </c>
      <c r="B13" s="377">
        <v>378</v>
      </c>
      <c r="C13" s="377">
        <v>446</v>
      </c>
    </row>
    <row r="14" spans="1:21" s="22" customFormat="1" ht="18" customHeight="1">
      <c r="A14" s="372" t="s">
        <v>12</v>
      </c>
      <c r="B14" s="377">
        <v>2257</v>
      </c>
      <c r="C14" s="377">
        <v>2236</v>
      </c>
    </row>
    <row r="15" spans="1:21" s="22" customFormat="1" ht="18" customHeight="1">
      <c r="A15" s="372" t="s">
        <v>385</v>
      </c>
      <c r="B15" s="377">
        <v>3231</v>
      </c>
      <c r="C15" s="377">
        <v>3606</v>
      </c>
      <c r="D15" s="378"/>
      <c r="E15" s="378"/>
      <c r="F15" s="378"/>
      <c r="G15" s="378"/>
      <c r="H15" s="378"/>
      <c r="I15" s="378"/>
      <c r="J15" s="378"/>
      <c r="K15" s="378"/>
      <c r="L15" s="378"/>
      <c r="M15" s="378"/>
      <c r="N15" s="378"/>
      <c r="O15" s="378"/>
      <c r="P15" s="378"/>
      <c r="Q15" s="378"/>
      <c r="R15" s="378"/>
      <c r="S15" s="378"/>
      <c r="T15" s="378"/>
      <c r="U15" s="378"/>
    </row>
    <row r="16" spans="1:21" s="22" customFormat="1" ht="18" customHeight="1">
      <c r="A16" s="372" t="s">
        <v>1234</v>
      </c>
      <c r="B16" s="377">
        <v>5</v>
      </c>
      <c r="C16" s="377">
        <v>5</v>
      </c>
      <c r="D16" s="378"/>
      <c r="E16" s="378"/>
      <c r="F16" s="378"/>
      <c r="G16" s="378"/>
      <c r="H16" s="378"/>
      <c r="I16" s="378"/>
      <c r="J16" s="378"/>
      <c r="K16" s="378"/>
      <c r="L16" s="378"/>
      <c r="M16" s="378"/>
      <c r="N16" s="378"/>
      <c r="O16" s="378"/>
      <c r="P16" s="378"/>
      <c r="Q16" s="378"/>
      <c r="R16" s="378"/>
      <c r="S16" s="378"/>
      <c r="T16" s="378"/>
      <c r="U16" s="378"/>
    </row>
    <row r="17" spans="1:21" s="22" customFormat="1" ht="18" customHeight="1">
      <c r="A17" s="379" t="s">
        <v>13</v>
      </c>
      <c r="B17" s="377">
        <v>9679</v>
      </c>
      <c r="C17" s="377">
        <v>9975</v>
      </c>
      <c r="D17" s="378"/>
      <c r="E17" s="378"/>
      <c r="F17" s="378"/>
      <c r="G17" s="378"/>
      <c r="H17" s="495"/>
      <c r="I17" s="34"/>
      <c r="J17" s="380"/>
      <c r="K17" s="378"/>
      <c r="L17" s="378"/>
      <c r="M17" s="378"/>
      <c r="N17" s="378"/>
      <c r="O17" s="378"/>
      <c r="P17" s="378"/>
      <c r="Q17" s="378"/>
      <c r="R17" s="378"/>
      <c r="S17" s="378"/>
      <c r="T17" s="378"/>
      <c r="U17" s="378"/>
    </row>
    <row r="18" spans="1:21" s="22" customFormat="1" ht="18" customHeight="1">
      <c r="A18" s="379" t="s">
        <v>14</v>
      </c>
      <c r="B18" s="377">
        <v>19</v>
      </c>
      <c r="C18" s="377">
        <v>18</v>
      </c>
      <c r="D18" s="380"/>
      <c r="E18" s="378"/>
      <c r="F18" s="378"/>
      <c r="G18" s="378"/>
      <c r="H18" s="378"/>
      <c r="I18" s="378"/>
      <c r="J18" s="378"/>
      <c r="K18" s="378"/>
      <c r="L18" s="378"/>
      <c r="M18" s="378"/>
      <c r="N18" s="378"/>
      <c r="O18" s="378"/>
      <c r="P18" s="378"/>
      <c r="Q18" s="378"/>
      <c r="R18" s="378"/>
      <c r="S18" s="378"/>
      <c r="T18" s="378"/>
      <c r="U18" s="378"/>
    </row>
    <row r="19" spans="1:21" s="22" customFormat="1" ht="18" customHeight="1">
      <c r="A19" s="372" t="s">
        <v>15</v>
      </c>
      <c r="B19" s="377">
        <v>2</v>
      </c>
      <c r="C19" s="377">
        <v>2</v>
      </c>
      <c r="D19" s="378"/>
      <c r="E19" s="378"/>
      <c r="F19" s="378"/>
      <c r="G19" s="378"/>
      <c r="H19" s="378"/>
      <c r="I19" s="378"/>
      <c r="J19" s="378"/>
      <c r="K19" s="378"/>
      <c r="L19" s="378"/>
      <c r="M19" s="378"/>
      <c r="N19" s="378"/>
      <c r="O19" s="378"/>
      <c r="P19" s="378"/>
      <c r="Q19" s="378"/>
      <c r="R19" s="378"/>
      <c r="S19" s="378"/>
      <c r="T19" s="378"/>
      <c r="U19" s="378"/>
    </row>
    <row r="20" spans="1:21" s="22" customFormat="1" ht="18" customHeight="1">
      <c r="A20" s="379" t="s">
        <v>16</v>
      </c>
      <c r="B20" s="318">
        <v>285</v>
      </c>
      <c r="C20" s="975">
        <v>278</v>
      </c>
      <c r="D20" s="378"/>
      <c r="E20" s="378"/>
      <c r="F20" s="378"/>
      <c r="G20" s="378"/>
      <c r="H20" s="378"/>
      <c r="I20" s="378"/>
      <c r="J20" s="378"/>
      <c r="K20" s="378"/>
      <c r="L20" s="378"/>
      <c r="M20" s="378"/>
      <c r="N20" s="378"/>
      <c r="O20" s="378"/>
      <c r="P20" s="378"/>
      <c r="Q20" s="378"/>
      <c r="R20" s="378"/>
      <c r="S20" s="378"/>
      <c r="T20" s="378"/>
      <c r="U20" s="378"/>
    </row>
    <row r="21" spans="1:21" s="22" customFormat="1" ht="18" customHeight="1">
      <c r="A21" s="379" t="s">
        <v>17</v>
      </c>
      <c r="B21" s="318">
        <v>614</v>
      </c>
      <c r="C21" s="975">
        <v>611</v>
      </c>
      <c r="D21" s="378"/>
      <c r="E21" s="378"/>
      <c r="F21" s="378"/>
      <c r="G21" s="378"/>
      <c r="H21" s="378"/>
      <c r="I21" s="378"/>
      <c r="J21" s="378"/>
      <c r="K21" s="378"/>
      <c r="L21" s="378"/>
      <c r="M21" s="378"/>
      <c r="N21" s="378"/>
      <c r="O21" s="378"/>
      <c r="P21" s="378"/>
      <c r="Q21" s="378"/>
      <c r="R21" s="378"/>
      <c r="S21" s="378"/>
      <c r="T21" s="378"/>
      <c r="U21" s="378"/>
    </row>
    <row r="22" spans="1:21" s="22" customFormat="1" ht="18" customHeight="1">
      <c r="A22" s="372" t="s">
        <v>18</v>
      </c>
      <c r="B22" s="377">
        <v>215</v>
      </c>
      <c r="C22" s="976">
        <v>215</v>
      </c>
      <c r="D22" s="378"/>
      <c r="E22" s="378"/>
      <c r="F22" s="378"/>
      <c r="G22" s="378"/>
      <c r="H22" s="378"/>
      <c r="I22" s="378"/>
      <c r="J22" s="378"/>
      <c r="K22" s="378"/>
      <c r="L22" s="378"/>
      <c r="M22" s="378"/>
      <c r="N22" s="378"/>
      <c r="O22" s="378"/>
      <c r="P22" s="378"/>
      <c r="Q22" s="378"/>
      <c r="R22" s="378"/>
      <c r="S22" s="378"/>
      <c r="T22" s="378"/>
      <c r="U22" s="378"/>
    </row>
    <row r="23" spans="1:21" s="22" customFormat="1" ht="18" customHeight="1">
      <c r="A23" s="372" t="s">
        <v>19</v>
      </c>
      <c r="B23" s="377">
        <v>66</v>
      </c>
      <c r="C23" s="377">
        <v>64</v>
      </c>
      <c r="D23" s="378"/>
      <c r="E23" s="378"/>
      <c r="F23" s="378"/>
      <c r="G23" s="378"/>
      <c r="H23" s="378"/>
      <c r="I23" s="378"/>
      <c r="J23" s="378"/>
      <c r="K23" s="378"/>
      <c r="L23" s="378"/>
      <c r="M23" s="378"/>
      <c r="N23" s="378"/>
      <c r="O23" s="378"/>
      <c r="P23" s="378"/>
      <c r="Q23" s="378"/>
      <c r="R23" s="378"/>
      <c r="S23" s="378"/>
      <c r="T23" s="378"/>
      <c r="U23" s="378"/>
    </row>
    <row r="24" spans="1:21" s="22" customFormat="1" ht="18" customHeight="1">
      <c r="A24" s="372" t="s">
        <v>20</v>
      </c>
      <c r="B24" s="377">
        <v>2</v>
      </c>
      <c r="C24" s="377">
        <v>2</v>
      </c>
    </row>
    <row r="25" spans="1:21" s="22" customFormat="1" ht="18" customHeight="1">
      <c r="A25" s="372" t="s">
        <v>21</v>
      </c>
      <c r="B25" s="377">
        <v>31</v>
      </c>
      <c r="C25" s="377">
        <v>30</v>
      </c>
    </row>
    <row r="26" spans="1:21" s="22" customFormat="1" ht="18" customHeight="1">
      <c r="A26" s="372" t="s">
        <v>22</v>
      </c>
      <c r="B26" s="377">
        <v>7</v>
      </c>
      <c r="C26" s="377">
        <v>7</v>
      </c>
    </row>
    <row r="27" spans="1:21" s="22" customFormat="1" ht="18" customHeight="1">
      <c r="A27" s="372" t="s">
        <v>23</v>
      </c>
      <c r="B27" s="377">
        <v>5</v>
      </c>
      <c r="C27" s="377">
        <v>5</v>
      </c>
    </row>
    <row r="28" spans="1:21" s="22" customFormat="1" ht="18" customHeight="1">
      <c r="A28" s="372" t="s">
        <v>24</v>
      </c>
      <c r="B28" s="377">
        <v>80</v>
      </c>
      <c r="C28" s="377">
        <v>78</v>
      </c>
    </row>
    <row r="29" spans="1:21" s="22" customFormat="1" ht="18" customHeight="1">
      <c r="A29" s="372" t="s">
        <v>25</v>
      </c>
      <c r="B29" s="377">
        <v>189</v>
      </c>
      <c r="C29" s="377">
        <v>189</v>
      </c>
    </row>
    <row r="30" spans="1:21" s="22" customFormat="1" ht="18" customHeight="1">
      <c r="A30" s="379" t="s">
        <v>26</v>
      </c>
      <c r="B30" s="318">
        <v>251</v>
      </c>
      <c r="C30" s="975">
        <v>260</v>
      </c>
    </row>
    <row r="31" spans="1:21" s="22" customFormat="1" ht="18" customHeight="1">
      <c r="A31" s="372" t="s">
        <v>27</v>
      </c>
      <c r="B31" s="377">
        <v>649</v>
      </c>
      <c r="C31" s="377">
        <v>726</v>
      </c>
    </row>
    <row r="32" spans="1:21" s="22" customFormat="1" ht="18" customHeight="1">
      <c r="A32" s="372" t="s">
        <v>28</v>
      </c>
      <c r="B32" s="377">
        <v>351</v>
      </c>
      <c r="C32" s="377">
        <v>361</v>
      </c>
    </row>
    <row r="33" spans="1:3" s="22" customFormat="1" ht="18" customHeight="1">
      <c r="A33" s="372" t="s">
        <v>29</v>
      </c>
      <c r="B33" s="377">
        <v>47</v>
      </c>
      <c r="C33" s="377">
        <v>46</v>
      </c>
    </row>
    <row r="34" spans="1:3" s="22" customFormat="1" ht="18" customHeight="1">
      <c r="A34" s="372" t="s">
        <v>30</v>
      </c>
      <c r="B34" s="377">
        <v>1291</v>
      </c>
      <c r="C34" s="976">
        <v>1352</v>
      </c>
    </row>
    <row r="35" spans="1:3" s="22" customFormat="1" ht="18" customHeight="1">
      <c r="A35" s="372" t="s">
        <v>31</v>
      </c>
      <c r="B35" s="377">
        <v>680</v>
      </c>
      <c r="C35" s="976">
        <v>733</v>
      </c>
    </row>
    <row r="36" spans="1:3" s="22" customFormat="1" ht="18" customHeight="1">
      <c r="A36" s="372" t="s">
        <v>319</v>
      </c>
      <c r="B36" s="377">
        <v>10</v>
      </c>
      <c r="C36" s="377">
        <v>15</v>
      </c>
    </row>
    <row r="37" spans="1:3" s="22" customFormat="1" ht="18" customHeight="1">
      <c r="A37" s="372" t="s">
        <v>501</v>
      </c>
      <c r="B37" s="377">
        <v>3</v>
      </c>
      <c r="C37" s="381">
        <v>4</v>
      </c>
    </row>
    <row r="38" spans="1:3" s="22" customFormat="1" ht="18" customHeight="1">
      <c r="A38" s="372" t="s">
        <v>32</v>
      </c>
      <c r="B38" s="377">
        <v>1</v>
      </c>
      <c r="C38" s="377">
        <v>1</v>
      </c>
    </row>
    <row r="39" spans="1:3" s="22" customFormat="1" ht="18" customHeight="1">
      <c r="A39" s="371" t="s">
        <v>33</v>
      </c>
      <c r="B39" s="381">
        <v>2</v>
      </c>
      <c r="C39" s="381">
        <v>2</v>
      </c>
    </row>
    <row r="40" spans="1:3" s="22" customFormat="1" ht="18" customHeight="1">
      <c r="A40" s="371" t="s">
        <v>34</v>
      </c>
      <c r="B40" s="381">
        <v>1</v>
      </c>
      <c r="C40" s="381">
        <v>1</v>
      </c>
    </row>
    <row r="41" spans="1:3" s="22" customFormat="1" ht="18" customHeight="1">
      <c r="A41" s="371" t="s">
        <v>35</v>
      </c>
      <c r="B41" s="381">
        <v>3</v>
      </c>
      <c r="C41" s="381">
        <v>3</v>
      </c>
    </row>
    <row r="42" spans="1:3">
      <c r="A42" s="1177" t="s">
        <v>36</v>
      </c>
      <c r="B42" s="1177"/>
      <c r="C42" s="395"/>
    </row>
    <row r="43" spans="1:3">
      <c r="A43" s="1177" t="s">
        <v>1173</v>
      </c>
      <c r="B43" s="1177"/>
      <c r="C43" s="395"/>
    </row>
    <row r="44" spans="1:3">
      <c r="A44" s="388" t="s">
        <v>404</v>
      </c>
      <c r="C44" s="395"/>
    </row>
    <row r="45" spans="1:3" ht="45">
      <c r="A45" s="612" t="s">
        <v>426</v>
      </c>
      <c r="C45" s="395"/>
    </row>
    <row r="46" spans="1:3" ht="90">
      <c r="A46" s="612" t="s">
        <v>1235</v>
      </c>
      <c r="C46" s="395"/>
    </row>
    <row r="47" spans="1:3">
      <c r="A47" s="1177" t="s">
        <v>37</v>
      </c>
      <c r="B47" s="1177"/>
    </row>
  </sheetData>
  <mergeCells count="4">
    <mergeCell ref="A43:B43"/>
    <mergeCell ref="A47:B47"/>
    <mergeCell ref="A1:C1"/>
    <mergeCell ref="A42:B4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22"/>
  <sheetViews>
    <sheetView workbookViewId="0">
      <selection activeCell="E28" sqref="E28"/>
    </sheetView>
  </sheetViews>
  <sheetFormatPr defaultColWidth="8.85546875" defaultRowHeight="15"/>
  <cols>
    <col min="1" max="16" width="14.7109375" style="21" bestFit="1" customWidth="1"/>
    <col min="17" max="17" width="4.7109375" style="21" bestFit="1" customWidth="1"/>
    <col min="18" max="256" width="8.85546875" style="21"/>
    <col min="257" max="272" width="14.7109375" style="21" bestFit="1" customWidth="1"/>
    <col min="273" max="273" width="4.7109375" style="21" bestFit="1" customWidth="1"/>
    <col min="274" max="512" width="8.85546875" style="21"/>
    <col min="513" max="528" width="14.7109375" style="21" bestFit="1" customWidth="1"/>
    <col min="529" max="529" width="4.7109375" style="21" bestFit="1" customWidth="1"/>
    <col min="530" max="768" width="8.85546875" style="21"/>
    <col min="769" max="784" width="14.7109375" style="21" bestFit="1" customWidth="1"/>
    <col min="785" max="785" width="4.7109375" style="21" bestFit="1" customWidth="1"/>
    <col min="786" max="1024" width="8.85546875" style="21"/>
    <col min="1025" max="1040" width="14.7109375" style="21" bestFit="1" customWidth="1"/>
    <col min="1041" max="1041" width="4.7109375" style="21" bestFit="1" customWidth="1"/>
    <col min="1042" max="1280" width="8.85546875" style="21"/>
    <col min="1281" max="1296" width="14.7109375" style="21" bestFit="1" customWidth="1"/>
    <col min="1297" max="1297" width="4.7109375" style="21" bestFit="1" customWidth="1"/>
    <col min="1298" max="1536" width="8.85546875" style="21"/>
    <col min="1537" max="1552" width="14.7109375" style="21" bestFit="1" customWidth="1"/>
    <col min="1553" max="1553" width="4.7109375" style="21" bestFit="1" customWidth="1"/>
    <col min="1554" max="1792" width="8.85546875" style="21"/>
    <col min="1793" max="1808" width="14.7109375" style="21" bestFit="1" customWidth="1"/>
    <col min="1809" max="1809" width="4.7109375" style="21" bestFit="1" customWidth="1"/>
    <col min="1810" max="2048" width="8.85546875" style="21"/>
    <col min="2049" max="2064" width="14.7109375" style="21" bestFit="1" customWidth="1"/>
    <col min="2065" max="2065" width="4.7109375" style="21" bestFit="1" customWidth="1"/>
    <col min="2066" max="2304" width="8.85546875" style="21"/>
    <col min="2305" max="2320" width="14.7109375" style="21" bestFit="1" customWidth="1"/>
    <col min="2321" max="2321" width="4.7109375" style="21" bestFit="1" customWidth="1"/>
    <col min="2322" max="2560" width="8.85546875" style="21"/>
    <col min="2561" max="2576" width="14.7109375" style="21" bestFit="1" customWidth="1"/>
    <col min="2577" max="2577" width="4.7109375" style="21" bestFit="1" customWidth="1"/>
    <col min="2578" max="2816" width="8.85546875" style="21"/>
    <col min="2817" max="2832" width="14.7109375" style="21" bestFit="1" customWidth="1"/>
    <col min="2833" max="2833" width="4.7109375" style="21" bestFit="1" customWidth="1"/>
    <col min="2834" max="3072" width="8.85546875" style="21"/>
    <col min="3073" max="3088" width="14.7109375" style="21" bestFit="1" customWidth="1"/>
    <col min="3089" max="3089" width="4.7109375" style="21" bestFit="1" customWidth="1"/>
    <col min="3090" max="3328" width="8.85546875" style="21"/>
    <col min="3329" max="3344" width="14.7109375" style="21" bestFit="1" customWidth="1"/>
    <col min="3345" max="3345" width="4.7109375" style="21" bestFit="1" customWidth="1"/>
    <col min="3346" max="3584" width="8.85546875" style="21"/>
    <col min="3585" max="3600" width="14.7109375" style="21" bestFit="1" customWidth="1"/>
    <col min="3601" max="3601" width="4.7109375" style="21" bestFit="1" customWidth="1"/>
    <col min="3602" max="3840" width="8.85546875" style="21"/>
    <col min="3841" max="3856" width="14.7109375" style="21" bestFit="1" customWidth="1"/>
    <col min="3857" max="3857" width="4.7109375" style="21" bestFit="1" customWidth="1"/>
    <col min="3858" max="4096" width="8.85546875" style="21"/>
    <col min="4097" max="4112" width="14.7109375" style="21" bestFit="1" customWidth="1"/>
    <col min="4113" max="4113" width="4.7109375" style="21" bestFit="1" customWidth="1"/>
    <col min="4114" max="4352" width="8.85546875" style="21"/>
    <col min="4353" max="4368" width="14.7109375" style="21" bestFit="1" customWidth="1"/>
    <col min="4369" max="4369" width="4.7109375" style="21" bestFit="1" customWidth="1"/>
    <col min="4370" max="4608" width="8.85546875" style="21"/>
    <col min="4609" max="4624" width="14.7109375" style="21" bestFit="1" customWidth="1"/>
    <col min="4625" max="4625" width="4.7109375" style="21" bestFit="1" customWidth="1"/>
    <col min="4626" max="4864" width="8.85546875" style="21"/>
    <col min="4865" max="4880" width="14.7109375" style="21" bestFit="1" customWidth="1"/>
    <col min="4881" max="4881" width="4.7109375" style="21" bestFit="1" customWidth="1"/>
    <col min="4882" max="5120" width="8.85546875" style="21"/>
    <col min="5121" max="5136" width="14.7109375" style="21" bestFit="1" customWidth="1"/>
    <col min="5137" max="5137" width="4.7109375" style="21" bestFit="1" customWidth="1"/>
    <col min="5138" max="5376" width="8.85546875" style="21"/>
    <col min="5377" max="5392" width="14.7109375" style="21" bestFit="1" customWidth="1"/>
    <col min="5393" max="5393" width="4.7109375" style="21" bestFit="1" customWidth="1"/>
    <col min="5394" max="5632" width="8.85546875" style="21"/>
    <col min="5633" max="5648" width="14.7109375" style="21" bestFit="1" customWidth="1"/>
    <col min="5649" max="5649" width="4.7109375" style="21" bestFit="1" customWidth="1"/>
    <col min="5650" max="5888" width="8.85546875" style="21"/>
    <col min="5889" max="5904" width="14.7109375" style="21" bestFit="1" customWidth="1"/>
    <col min="5905" max="5905" width="4.7109375" style="21" bestFit="1" customWidth="1"/>
    <col min="5906" max="6144" width="8.85546875" style="21"/>
    <col min="6145" max="6160" width="14.7109375" style="21" bestFit="1" customWidth="1"/>
    <col min="6161" max="6161" width="4.7109375" style="21" bestFit="1" customWidth="1"/>
    <col min="6162" max="6400" width="8.85546875" style="21"/>
    <col min="6401" max="6416" width="14.7109375" style="21" bestFit="1" customWidth="1"/>
    <col min="6417" max="6417" width="4.7109375" style="21" bestFit="1" customWidth="1"/>
    <col min="6418" max="6656" width="8.85546875" style="21"/>
    <col min="6657" max="6672" width="14.7109375" style="21" bestFit="1" customWidth="1"/>
    <col min="6673" max="6673" width="4.7109375" style="21" bestFit="1" customWidth="1"/>
    <col min="6674" max="6912" width="8.85546875" style="21"/>
    <col min="6913" max="6928" width="14.7109375" style="21" bestFit="1" customWidth="1"/>
    <col min="6929" max="6929" width="4.7109375" style="21" bestFit="1" customWidth="1"/>
    <col min="6930" max="7168" width="8.85546875" style="21"/>
    <col min="7169" max="7184" width="14.7109375" style="21" bestFit="1" customWidth="1"/>
    <col min="7185" max="7185" width="4.7109375" style="21" bestFit="1" customWidth="1"/>
    <col min="7186" max="7424" width="8.85546875" style="21"/>
    <col min="7425" max="7440" width="14.7109375" style="21" bestFit="1" customWidth="1"/>
    <col min="7441" max="7441" width="4.7109375" style="21" bestFit="1" customWidth="1"/>
    <col min="7442" max="7680" width="8.85546875" style="21"/>
    <col min="7681" max="7696" width="14.7109375" style="21" bestFit="1" customWidth="1"/>
    <col min="7697" max="7697" width="4.7109375" style="21" bestFit="1" customWidth="1"/>
    <col min="7698" max="7936" width="8.85546875" style="21"/>
    <col min="7937" max="7952" width="14.7109375" style="21" bestFit="1" customWidth="1"/>
    <col min="7953" max="7953" width="4.7109375" style="21" bestFit="1" customWidth="1"/>
    <col min="7954" max="8192" width="8.85546875" style="21"/>
    <col min="8193" max="8208" width="14.7109375" style="21" bestFit="1" customWidth="1"/>
    <col min="8209" max="8209" width="4.7109375" style="21" bestFit="1" customWidth="1"/>
    <col min="8210" max="8448" width="8.85546875" style="21"/>
    <col min="8449" max="8464" width="14.7109375" style="21" bestFit="1" customWidth="1"/>
    <col min="8465" max="8465" width="4.7109375" style="21" bestFit="1" customWidth="1"/>
    <col min="8466" max="8704" width="8.85546875" style="21"/>
    <col min="8705" max="8720" width="14.7109375" style="21" bestFit="1" customWidth="1"/>
    <col min="8721" max="8721" width="4.7109375" style="21" bestFit="1" customWidth="1"/>
    <col min="8722" max="8960" width="8.85546875" style="21"/>
    <col min="8961" max="8976" width="14.7109375" style="21" bestFit="1" customWidth="1"/>
    <col min="8977" max="8977" width="4.7109375" style="21" bestFit="1" customWidth="1"/>
    <col min="8978" max="9216" width="8.85546875" style="21"/>
    <col min="9217" max="9232" width="14.7109375" style="21" bestFit="1" customWidth="1"/>
    <col min="9233" max="9233" width="4.7109375" style="21" bestFit="1" customWidth="1"/>
    <col min="9234" max="9472" width="8.85546875" style="21"/>
    <col min="9473" max="9488" width="14.7109375" style="21" bestFit="1" customWidth="1"/>
    <col min="9489" max="9489" width="4.7109375" style="21" bestFit="1" customWidth="1"/>
    <col min="9490" max="9728" width="8.85546875" style="21"/>
    <col min="9729" max="9744" width="14.7109375" style="21" bestFit="1" customWidth="1"/>
    <col min="9745" max="9745" width="4.7109375" style="21" bestFit="1" customWidth="1"/>
    <col min="9746" max="9984" width="8.85546875" style="21"/>
    <col min="9985" max="10000" width="14.7109375" style="21" bestFit="1" customWidth="1"/>
    <col min="10001" max="10001" width="4.7109375" style="21" bestFit="1" customWidth="1"/>
    <col min="10002" max="10240" width="8.85546875" style="21"/>
    <col min="10241" max="10256" width="14.7109375" style="21" bestFit="1" customWidth="1"/>
    <col min="10257" max="10257" width="4.7109375" style="21" bestFit="1" customWidth="1"/>
    <col min="10258" max="10496" width="8.85546875" style="21"/>
    <col min="10497" max="10512" width="14.7109375" style="21" bestFit="1" customWidth="1"/>
    <col min="10513" max="10513" width="4.7109375" style="21" bestFit="1" customWidth="1"/>
    <col min="10514" max="10752" width="8.85546875" style="21"/>
    <col min="10753" max="10768" width="14.7109375" style="21" bestFit="1" customWidth="1"/>
    <col min="10769" max="10769" width="4.7109375" style="21" bestFit="1" customWidth="1"/>
    <col min="10770" max="11008" width="8.85546875" style="21"/>
    <col min="11009" max="11024" width="14.7109375" style="21" bestFit="1" customWidth="1"/>
    <col min="11025" max="11025" width="4.7109375" style="21" bestFit="1" customWidth="1"/>
    <col min="11026" max="11264" width="8.85546875" style="21"/>
    <col min="11265" max="11280" width="14.7109375" style="21" bestFit="1" customWidth="1"/>
    <col min="11281" max="11281" width="4.7109375" style="21" bestFit="1" customWidth="1"/>
    <col min="11282" max="11520" width="8.85546875" style="21"/>
    <col min="11521" max="11536" width="14.7109375" style="21" bestFit="1" customWidth="1"/>
    <col min="11537" max="11537" width="4.7109375" style="21" bestFit="1" customWidth="1"/>
    <col min="11538" max="11776" width="8.85546875" style="21"/>
    <col min="11777" max="11792" width="14.7109375" style="21" bestFit="1" customWidth="1"/>
    <col min="11793" max="11793" width="4.7109375" style="21" bestFit="1" customWidth="1"/>
    <col min="11794" max="12032" width="8.85546875" style="21"/>
    <col min="12033" max="12048" width="14.7109375" style="21" bestFit="1" customWidth="1"/>
    <col min="12049" max="12049" width="4.7109375" style="21" bestFit="1" customWidth="1"/>
    <col min="12050" max="12288" width="8.85546875" style="21"/>
    <col min="12289" max="12304" width="14.7109375" style="21" bestFit="1" customWidth="1"/>
    <col min="12305" max="12305" width="4.7109375" style="21" bestFit="1" customWidth="1"/>
    <col min="12306" max="12544" width="8.85546875" style="21"/>
    <col min="12545" max="12560" width="14.7109375" style="21" bestFit="1" customWidth="1"/>
    <col min="12561" max="12561" width="4.7109375" style="21" bestFit="1" customWidth="1"/>
    <col min="12562" max="12800" width="8.85546875" style="21"/>
    <col min="12801" max="12816" width="14.7109375" style="21" bestFit="1" customWidth="1"/>
    <col min="12817" max="12817" width="4.7109375" style="21" bestFit="1" customWidth="1"/>
    <col min="12818" max="13056" width="8.85546875" style="21"/>
    <col min="13057" max="13072" width="14.7109375" style="21" bestFit="1" customWidth="1"/>
    <col min="13073" max="13073" width="4.7109375" style="21" bestFit="1" customWidth="1"/>
    <col min="13074" max="13312" width="8.85546875" style="21"/>
    <col min="13313" max="13328" width="14.7109375" style="21" bestFit="1" customWidth="1"/>
    <col min="13329" max="13329" width="4.7109375" style="21" bestFit="1" customWidth="1"/>
    <col min="13330" max="13568" width="8.85546875" style="21"/>
    <col min="13569" max="13584" width="14.7109375" style="21" bestFit="1" customWidth="1"/>
    <col min="13585" max="13585" width="4.7109375" style="21" bestFit="1" customWidth="1"/>
    <col min="13586" max="13824" width="8.85546875" style="21"/>
    <col min="13825" max="13840" width="14.7109375" style="21" bestFit="1" customWidth="1"/>
    <col min="13841" max="13841" width="4.7109375" style="21" bestFit="1" customWidth="1"/>
    <col min="13842" max="14080" width="8.85546875" style="21"/>
    <col min="14081" max="14096" width="14.7109375" style="21" bestFit="1" customWidth="1"/>
    <col min="14097" max="14097" width="4.7109375" style="21" bestFit="1" customWidth="1"/>
    <col min="14098" max="14336" width="8.85546875" style="21"/>
    <col min="14337" max="14352" width="14.7109375" style="21" bestFit="1" customWidth="1"/>
    <col min="14353" max="14353" width="4.7109375" style="21" bestFit="1" customWidth="1"/>
    <col min="14354" max="14592" width="8.85546875" style="21"/>
    <col min="14593" max="14608" width="14.7109375" style="21" bestFit="1" customWidth="1"/>
    <col min="14609" max="14609" width="4.7109375" style="21" bestFit="1" customWidth="1"/>
    <col min="14610" max="14848" width="8.85546875" style="21"/>
    <col min="14849" max="14864" width="14.7109375" style="21" bestFit="1" customWidth="1"/>
    <col min="14865" max="14865" width="4.7109375" style="21" bestFit="1" customWidth="1"/>
    <col min="14866" max="15104" width="8.85546875" style="21"/>
    <col min="15105" max="15120" width="14.7109375" style="21" bestFit="1" customWidth="1"/>
    <col min="15121" max="15121" width="4.7109375" style="21" bestFit="1" customWidth="1"/>
    <col min="15122" max="15360" width="8.85546875" style="21"/>
    <col min="15361" max="15376" width="14.7109375" style="21" bestFit="1" customWidth="1"/>
    <col min="15377" max="15377" width="4.7109375" style="21" bestFit="1" customWidth="1"/>
    <col min="15378" max="15616" width="8.85546875" style="21"/>
    <col min="15617" max="15632" width="14.7109375" style="21" bestFit="1" customWidth="1"/>
    <col min="15633" max="15633" width="4.7109375" style="21" bestFit="1" customWidth="1"/>
    <col min="15634" max="15872" width="8.85546875" style="21"/>
    <col min="15873" max="15888" width="14.7109375" style="21" bestFit="1" customWidth="1"/>
    <col min="15889" max="15889" width="4.7109375" style="21" bestFit="1" customWidth="1"/>
    <col min="15890" max="16128" width="8.85546875" style="21"/>
    <col min="16129" max="16144" width="14.7109375" style="21" bestFit="1" customWidth="1"/>
    <col min="16145" max="16145" width="4.7109375" style="21" bestFit="1" customWidth="1"/>
    <col min="16146" max="16384" width="8.85546875" style="21"/>
  </cols>
  <sheetData>
    <row r="1" spans="1:16">
      <c r="A1" s="1275" t="s">
        <v>4</v>
      </c>
      <c r="B1" s="1275"/>
      <c r="C1" s="1275"/>
    </row>
    <row r="2" spans="1:16" s="24" customFormat="1" ht="32.25" customHeight="1">
      <c r="A2" s="1237" t="s">
        <v>83</v>
      </c>
      <c r="B2" s="1237" t="s">
        <v>109</v>
      </c>
      <c r="C2" s="1224" t="s">
        <v>463</v>
      </c>
      <c r="D2" s="1237" t="s">
        <v>123</v>
      </c>
      <c r="E2" s="1237" t="s">
        <v>111</v>
      </c>
      <c r="F2" s="1237" t="s">
        <v>357</v>
      </c>
      <c r="G2" s="1237" t="s">
        <v>358</v>
      </c>
      <c r="H2" s="1237" t="s">
        <v>124</v>
      </c>
      <c r="I2" s="1237" t="s">
        <v>125</v>
      </c>
      <c r="J2" s="1237" t="s">
        <v>462</v>
      </c>
      <c r="K2" s="1237" t="s">
        <v>359</v>
      </c>
      <c r="L2" s="1237" t="s">
        <v>126</v>
      </c>
      <c r="M2" s="1237" t="s">
        <v>381</v>
      </c>
      <c r="N2" s="1239" t="s">
        <v>127</v>
      </c>
      <c r="O2" s="1277"/>
      <c r="P2" s="1240"/>
    </row>
    <row r="3" spans="1:16" s="24" customFormat="1" ht="21" customHeight="1">
      <c r="A3" s="1276"/>
      <c r="B3" s="1276"/>
      <c r="C3" s="1226"/>
      <c r="D3" s="1276"/>
      <c r="E3" s="1276"/>
      <c r="F3" s="1276"/>
      <c r="G3" s="1276"/>
      <c r="H3" s="1276"/>
      <c r="I3" s="1276"/>
      <c r="J3" s="1276"/>
      <c r="K3" s="1276"/>
      <c r="L3" s="1276"/>
      <c r="M3" s="1276"/>
      <c r="N3" s="94" t="s">
        <v>115</v>
      </c>
      <c r="O3" s="94" t="s">
        <v>116</v>
      </c>
      <c r="P3" s="94" t="s">
        <v>117</v>
      </c>
    </row>
    <row r="4" spans="1:16" s="25" customFormat="1" ht="18" customHeight="1">
      <c r="A4" s="102" t="s">
        <v>58</v>
      </c>
      <c r="B4" s="103">
        <v>295</v>
      </c>
      <c r="C4" s="103">
        <v>1256</v>
      </c>
      <c r="D4" s="103">
        <v>15</v>
      </c>
      <c r="E4" s="103">
        <v>247</v>
      </c>
      <c r="F4" s="103">
        <v>7.4999999999999997E-3</v>
      </c>
      <c r="G4" s="103">
        <v>12.98218</v>
      </c>
      <c r="H4" s="103">
        <v>27.988247170000001</v>
      </c>
      <c r="I4" s="103">
        <v>0.11331274199999999</v>
      </c>
      <c r="J4" s="148">
        <v>373176.62893333298</v>
      </c>
      <c r="K4" s="103">
        <v>15.349758233999999</v>
      </c>
      <c r="L4" s="103">
        <v>20.30463782</v>
      </c>
      <c r="M4" s="149">
        <v>11034810.51</v>
      </c>
      <c r="N4" s="103">
        <v>24440.1</v>
      </c>
      <c r="O4" s="103">
        <v>15102.84</v>
      </c>
      <c r="P4" s="103">
        <v>17120.96</v>
      </c>
    </row>
    <row r="5" spans="1:16" s="23" customFormat="1" ht="18" customHeight="1">
      <c r="A5" s="224" t="s">
        <v>61</v>
      </c>
      <c r="B5" s="1155">
        <v>298</v>
      </c>
      <c r="C5" s="1155">
        <v>1236</v>
      </c>
      <c r="D5" s="1156">
        <v>7</v>
      </c>
      <c r="E5" s="1156">
        <v>228</v>
      </c>
      <c r="F5" s="1157">
        <v>3.14E-3</v>
      </c>
      <c r="G5" s="1157">
        <v>2.4476100000000001</v>
      </c>
      <c r="H5" s="1158">
        <v>6.7720042950000003</v>
      </c>
      <c r="I5" s="1157">
        <v>2.9701773000000001E-2</v>
      </c>
      <c r="J5" s="1159">
        <v>215668.92659235699</v>
      </c>
      <c r="K5" s="222" t="s">
        <v>275</v>
      </c>
      <c r="L5" s="222" t="s">
        <v>275</v>
      </c>
      <c r="M5" s="1160">
        <v>19229089.32</v>
      </c>
      <c r="N5" s="1161">
        <v>30325.03</v>
      </c>
      <c r="O5" s="1162">
        <v>16065.53</v>
      </c>
      <c r="P5" s="1161">
        <v>28734.09</v>
      </c>
    </row>
    <row r="6" spans="1:16" s="24" customFormat="1" ht="18" customHeight="1">
      <c r="A6" s="242" t="s">
        <v>60</v>
      </c>
      <c r="B6" s="208">
        <v>296</v>
      </c>
      <c r="C6" s="208">
        <v>1257</v>
      </c>
      <c r="D6" s="243">
        <v>3</v>
      </c>
      <c r="E6" s="243">
        <v>18</v>
      </c>
      <c r="F6" s="243">
        <v>1.2999999999999999E-4</v>
      </c>
      <c r="G6" s="243">
        <v>0.19211</v>
      </c>
      <c r="H6" s="243">
        <v>0.692056</v>
      </c>
      <c r="I6" s="243">
        <v>3.8447556000000001E-2</v>
      </c>
      <c r="J6" s="244">
        <v>532350.76923076902</v>
      </c>
      <c r="K6" s="243">
        <v>0</v>
      </c>
      <c r="L6" s="243">
        <v>0</v>
      </c>
      <c r="M6" s="255">
        <v>12577219.92</v>
      </c>
      <c r="N6" s="243">
        <v>19582.8</v>
      </c>
      <c r="O6" s="243">
        <v>16065.53</v>
      </c>
      <c r="P6" s="243">
        <v>19582.82</v>
      </c>
    </row>
    <row r="7" spans="1:16" s="24" customFormat="1" ht="18" customHeight="1">
      <c r="A7" s="242" t="s">
        <v>59</v>
      </c>
      <c r="B7" s="208">
        <v>295</v>
      </c>
      <c r="C7" s="208">
        <v>1257</v>
      </c>
      <c r="D7" s="243">
        <v>0</v>
      </c>
      <c r="E7" s="243">
        <v>19</v>
      </c>
      <c r="F7" s="243">
        <v>0</v>
      </c>
      <c r="G7" s="243">
        <v>0</v>
      </c>
      <c r="H7" s="243">
        <v>0</v>
      </c>
      <c r="I7" s="243">
        <v>0</v>
      </c>
      <c r="J7" s="243">
        <v>0</v>
      </c>
      <c r="K7" s="243">
        <v>0</v>
      </c>
      <c r="L7" s="243">
        <v>0</v>
      </c>
      <c r="M7" s="255">
        <v>12348176.5</v>
      </c>
      <c r="N7" s="243">
        <v>18975.599999999999</v>
      </c>
      <c r="O7" s="243">
        <v>17527.78</v>
      </c>
      <c r="P7" s="243">
        <v>18975.599999999999</v>
      </c>
    </row>
    <row r="8" spans="1:16" s="24" customFormat="1" ht="18" customHeight="1">
      <c r="A8" s="242" t="s">
        <v>310</v>
      </c>
      <c r="B8" s="208">
        <v>295</v>
      </c>
      <c r="C8" s="208">
        <v>1256</v>
      </c>
      <c r="D8" s="243">
        <v>3</v>
      </c>
      <c r="E8" s="243">
        <v>22</v>
      </c>
      <c r="F8" s="243">
        <v>1.8000000000000001E-4</v>
      </c>
      <c r="G8" s="243">
        <v>0.19714000000000001</v>
      </c>
      <c r="H8" s="243">
        <v>0.70960880000000004</v>
      </c>
      <c r="I8" s="243">
        <v>3.2254945E-2</v>
      </c>
      <c r="J8" s="244">
        <v>394227.11109999998</v>
      </c>
      <c r="K8" s="243">
        <v>0</v>
      </c>
      <c r="L8" s="243">
        <v>0</v>
      </c>
      <c r="M8" s="255">
        <v>13487770.939999999</v>
      </c>
      <c r="N8" s="243">
        <v>20692.27</v>
      </c>
      <c r="O8" s="243">
        <v>19439.25</v>
      </c>
      <c r="P8" s="243">
        <v>20394.990000000002</v>
      </c>
    </row>
    <row r="9" spans="1:16" s="24" customFormat="1" ht="18" customHeight="1">
      <c r="A9" s="242" t="s">
        <v>356</v>
      </c>
      <c r="B9" s="208">
        <v>296</v>
      </c>
      <c r="C9" s="208">
        <v>1257</v>
      </c>
      <c r="D9" s="243">
        <v>1</v>
      </c>
      <c r="E9" s="243">
        <v>23</v>
      </c>
      <c r="F9" s="243">
        <v>6.9999999999999994E-5</v>
      </c>
      <c r="G9" s="243">
        <v>5.91E-2</v>
      </c>
      <c r="H9" s="243">
        <v>0.21276</v>
      </c>
      <c r="I9" s="243">
        <v>9.2504349999999996E-3</v>
      </c>
      <c r="J9" s="244">
        <v>303942.85710000002</v>
      </c>
      <c r="K9" s="243">
        <v>0</v>
      </c>
      <c r="L9" s="243">
        <v>0</v>
      </c>
      <c r="M9" s="255">
        <v>14394821.939999999</v>
      </c>
      <c r="N9" s="243">
        <v>22504.43</v>
      </c>
      <c r="O9" s="243">
        <v>20643.12</v>
      </c>
      <c r="P9" s="243">
        <v>22015.439999999999</v>
      </c>
    </row>
    <row r="10" spans="1:16" s="24" customFormat="1" ht="18" customHeight="1">
      <c r="A10" s="242" t="s">
        <v>384</v>
      </c>
      <c r="B10" s="208">
        <v>297</v>
      </c>
      <c r="C10" s="208">
        <v>1258</v>
      </c>
      <c r="D10" s="243">
        <v>2</v>
      </c>
      <c r="E10" s="243">
        <v>21</v>
      </c>
      <c r="F10" s="243">
        <v>2.9E-4</v>
      </c>
      <c r="G10" s="243">
        <v>0.32501000000000002</v>
      </c>
      <c r="H10" s="243">
        <v>1.153661</v>
      </c>
      <c r="I10" s="243">
        <v>5.4936237999999998E-2</v>
      </c>
      <c r="J10" s="244">
        <v>397814.13793103403</v>
      </c>
      <c r="K10" s="243">
        <v>0</v>
      </c>
      <c r="L10" s="243">
        <v>0</v>
      </c>
      <c r="M10" s="255">
        <v>14933471.630000001</v>
      </c>
      <c r="N10" s="243">
        <v>23093.360000000001</v>
      </c>
      <c r="O10" s="243">
        <v>21661.75</v>
      </c>
      <c r="P10" s="243">
        <v>22609.56</v>
      </c>
    </row>
    <row r="11" spans="1:16" s="24" customFormat="1" ht="18" customHeight="1">
      <c r="A11" s="207">
        <v>44075</v>
      </c>
      <c r="B11" s="208">
        <v>297</v>
      </c>
      <c r="C11" s="208">
        <v>1260</v>
      </c>
      <c r="D11" s="243">
        <v>4</v>
      </c>
      <c r="E11" s="243">
        <v>22</v>
      </c>
      <c r="F11" s="243">
        <v>1.1100000000000001E-3</v>
      </c>
      <c r="G11" s="243">
        <v>0.32167000000000001</v>
      </c>
      <c r="H11" s="243">
        <v>1.1437114500000001</v>
      </c>
      <c r="I11" s="243">
        <v>5.1986883999999997E-2</v>
      </c>
      <c r="J11" s="244">
        <v>103037.067567568</v>
      </c>
      <c r="K11" s="243">
        <v>0</v>
      </c>
      <c r="L11" s="243">
        <v>0</v>
      </c>
      <c r="M11" s="255">
        <v>14948126.76</v>
      </c>
      <c r="N11" s="243">
        <v>23068.57</v>
      </c>
      <c r="O11" s="243">
        <v>21505</v>
      </c>
      <c r="P11" s="243">
        <v>22386.29</v>
      </c>
    </row>
    <row r="12" spans="1:16" s="24" customFormat="1" ht="18" customHeight="1">
      <c r="A12" s="207" t="s">
        <v>392</v>
      </c>
      <c r="B12" s="208">
        <v>297</v>
      </c>
      <c r="C12" s="208">
        <v>1255</v>
      </c>
      <c r="D12" s="243">
        <v>1</v>
      </c>
      <c r="E12" s="243">
        <v>21</v>
      </c>
      <c r="F12" s="243">
        <v>5.9999999999999995E-4</v>
      </c>
      <c r="G12" s="243">
        <v>0.18304999999999999</v>
      </c>
      <c r="H12" s="243">
        <v>0.64067499999999999</v>
      </c>
      <c r="I12" s="243">
        <v>3.0508332999999999E-2</v>
      </c>
      <c r="J12" s="244">
        <v>106779.16666666701</v>
      </c>
      <c r="K12" s="243">
        <v>0</v>
      </c>
      <c r="L12" s="243">
        <v>0</v>
      </c>
      <c r="M12" s="255">
        <v>15176584.51</v>
      </c>
      <c r="N12" s="243">
        <v>23871.67</v>
      </c>
      <c r="O12" s="243">
        <v>22720.35</v>
      </c>
      <c r="P12" s="243">
        <v>23186.74</v>
      </c>
    </row>
    <row r="13" spans="1:16" s="24" customFormat="1" ht="18" customHeight="1">
      <c r="A13" s="242" t="s">
        <v>396</v>
      </c>
      <c r="B13" s="256">
        <v>298</v>
      </c>
      <c r="C13" s="257">
        <v>1254</v>
      </c>
      <c r="D13" s="258">
        <v>2</v>
      </c>
      <c r="E13" s="259">
        <v>20</v>
      </c>
      <c r="F13" s="260">
        <v>1.9000000000000001E-4</v>
      </c>
      <c r="G13" s="243">
        <v>7.8600000000000003E-2</v>
      </c>
      <c r="H13" s="243">
        <v>0.28305000000000002</v>
      </c>
      <c r="I13" s="243">
        <f t="shared" ref="I13" si="0">H13/E13</f>
        <v>1.4152500000000002E-2</v>
      </c>
      <c r="J13" s="261">
        <f t="shared" ref="J13" si="1">H13/(F13/100)</f>
        <v>148973.68421052632</v>
      </c>
      <c r="K13" s="243">
        <v>0</v>
      </c>
      <c r="L13" s="243">
        <v>0</v>
      </c>
      <c r="M13" s="261">
        <v>16730075.904938348</v>
      </c>
      <c r="N13" s="262">
        <v>25893.97</v>
      </c>
      <c r="O13" s="262">
        <v>23186.74</v>
      </c>
      <c r="P13" s="262">
        <v>25707.37</v>
      </c>
    </row>
    <row r="14" spans="1:16" s="24" customFormat="1" ht="18" customHeight="1">
      <c r="A14" s="207">
        <v>44166</v>
      </c>
      <c r="B14" s="208">
        <v>297</v>
      </c>
      <c r="C14" s="208">
        <v>1240</v>
      </c>
      <c r="D14" s="208">
        <v>3</v>
      </c>
      <c r="E14" s="208">
        <v>22</v>
      </c>
      <c r="F14" s="208">
        <v>2.4000000000000001E-4</v>
      </c>
      <c r="G14" s="208">
        <v>7.3540000000000008E-2</v>
      </c>
      <c r="H14" s="208">
        <v>0.251525</v>
      </c>
      <c r="I14" s="208">
        <v>1.1432954545454545E-2</v>
      </c>
      <c r="J14" s="241">
        <v>104802.08333333334</v>
      </c>
      <c r="K14" s="243">
        <v>0</v>
      </c>
      <c r="L14" s="243">
        <v>0</v>
      </c>
      <c r="M14" s="251">
        <v>18054395.309999999</v>
      </c>
      <c r="N14" s="208">
        <v>27763.61</v>
      </c>
      <c r="O14" s="208">
        <v>25707.37</v>
      </c>
      <c r="P14" s="208">
        <v>27763.61</v>
      </c>
    </row>
    <row r="15" spans="1:16" s="24" customFormat="1" ht="18" customHeight="1">
      <c r="A15" s="207">
        <v>44197</v>
      </c>
      <c r="B15" s="208">
        <v>297</v>
      </c>
      <c r="C15" s="208">
        <v>1237</v>
      </c>
      <c r="D15" s="208">
        <v>1</v>
      </c>
      <c r="E15" s="208">
        <v>20</v>
      </c>
      <c r="F15" s="208">
        <v>2.0000000000000002E-5</v>
      </c>
      <c r="G15" s="208">
        <v>1.444E-2</v>
      </c>
      <c r="H15" s="208">
        <v>5.1984000000000002E-2</v>
      </c>
      <c r="I15" s="208">
        <v>2.5991999999999999E-3</v>
      </c>
      <c r="J15" s="241">
        <v>259920</v>
      </c>
      <c r="K15" s="243">
        <v>0</v>
      </c>
      <c r="L15" s="243">
        <v>0</v>
      </c>
      <c r="M15" s="251">
        <v>17832266.379999999</v>
      </c>
      <c r="N15" s="208">
        <v>29019.45</v>
      </c>
      <c r="O15" s="208">
        <v>26995.51</v>
      </c>
      <c r="P15" s="208">
        <v>26995.51</v>
      </c>
    </row>
    <row r="16" spans="1:16" s="24" customFormat="1" ht="18" customHeight="1">
      <c r="A16" s="207">
        <v>44228</v>
      </c>
      <c r="B16" s="208">
        <v>298</v>
      </c>
      <c r="C16" s="208">
        <v>1236</v>
      </c>
      <c r="D16" s="208">
        <v>3</v>
      </c>
      <c r="E16" s="208">
        <v>20</v>
      </c>
      <c r="F16" s="208">
        <v>3.1E-4</v>
      </c>
      <c r="G16" s="208">
        <v>1.00295</v>
      </c>
      <c r="H16" s="208">
        <v>1.632973045</v>
      </c>
      <c r="I16" s="208">
        <v>8.1648652000000002E-2</v>
      </c>
      <c r="J16" s="241">
        <v>526765.49838709703</v>
      </c>
      <c r="K16" s="243">
        <v>0</v>
      </c>
      <c r="L16" s="243">
        <v>0</v>
      </c>
      <c r="M16" s="251">
        <v>19229089.32</v>
      </c>
      <c r="N16" s="208">
        <v>30325.03</v>
      </c>
      <c r="O16" s="208">
        <v>26995.51</v>
      </c>
      <c r="P16" s="208">
        <v>28734.09</v>
      </c>
    </row>
    <row r="17" spans="1:16" s="24" customFormat="1" ht="18" customHeight="1">
      <c r="A17" s="29" t="s">
        <v>354</v>
      </c>
      <c r="B17" s="34"/>
      <c r="C17" s="34"/>
      <c r="D17" s="34"/>
      <c r="E17" s="34"/>
      <c r="F17" s="183"/>
      <c r="G17" s="184"/>
      <c r="H17" s="184"/>
      <c r="I17" s="34"/>
      <c r="J17" s="35"/>
      <c r="K17" s="34"/>
      <c r="L17" s="34"/>
      <c r="M17" s="185"/>
      <c r="N17" s="34"/>
      <c r="O17" s="34"/>
      <c r="P17" s="34"/>
    </row>
    <row r="18" spans="1:16" s="24" customFormat="1" ht="18.75" customHeight="1">
      <c r="A18" s="29" t="s">
        <v>363</v>
      </c>
      <c r="B18" s="34"/>
      <c r="C18" s="34"/>
      <c r="D18" s="34"/>
      <c r="E18" s="34"/>
      <c r="F18" s="183"/>
      <c r="G18" s="184"/>
      <c r="H18" s="184"/>
      <c r="I18" s="34"/>
      <c r="J18" s="35"/>
      <c r="K18" s="34"/>
      <c r="L18" s="34"/>
      <c r="M18" s="185"/>
      <c r="N18" s="34"/>
      <c r="O18" s="34"/>
      <c r="P18" s="34"/>
    </row>
    <row r="19" spans="1:16" s="24" customFormat="1" ht="18.75" customHeight="1">
      <c r="A19" s="1180" t="s">
        <v>1173</v>
      </c>
      <c r="B19" s="1180"/>
      <c r="C19" s="1180"/>
      <c r="D19" s="1180"/>
      <c r="E19" s="1180"/>
      <c r="F19" s="1180"/>
      <c r="G19" s="1180"/>
      <c r="H19" s="1180"/>
      <c r="I19" s="1180"/>
      <c r="J19" s="1180"/>
      <c r="K19" s="1180"/>
      <c r="L19" s="1180"/>
      <c r="M19" s="1180"/>
      <c r="N19" s="1180"/>
      <c r="O19" s="1180"/>
      <c r="P19" s="1180"/>
    </row>
    <row r="20" spans="1:16">
      <c r="A20" s="1180" t="s">
        <v>128</v>
      </c>
      <c r="B20" s="1180"/>
      <c r="C20" s="1180"/>
      <c r="D20" s="1180"/>
      <c r="E20" s="1180"/>
      <c r="F20" s="1180"/>
      <c r="G20" s="1180"/>
      <c r="H20" s="1180"/>
      <c r="I20" s="1180"/>
      <c r="J20" s="1180"/>
      <c r="K20" s="1180"/>
      <c r="L20" s="1180"/>
      <c r="M20" s="1180"/>
      <c r="N20" s="1180"/>
      <c r="O20" s="1180"/>
      <c r="P20" s="1180"/>
    </row>
    <row r="21" spans="1:16">
      <c r="J21" s="147"/>
    </row>
    <row r="22" spans="1:16">
      <c r="J22" s="147"/>
    </row>
  </sheetData>
  <mergeCells count="17">
    <mergeCell ref="L2:L3"/>
    <mergeCell ref="M2:M3"/>
    <mergeCell ref="N2:P2"/>
    <mergeCell ref="A19:P19"/>
    <mergeCell ref="A20:P20"/>
    <mergeCell ref="F2:F3"/>
    <mergeCell ref="G2:G3"/>
    <mergeCell ref="H2:H3"/>
    <mergeCell ref="I2:I3"/>
    <mergeCell ref="J2:J3"/>
    <mergeCell ref="K2:K3"/>
    <mergeCell ref="E2:E3"/>
    <mergeCell ref="A1:C1"/>
    <mergeCell ref="A2:A3"/>
    <mergeCell ref="B2:B3"/>
    <mergeCell ref="C2:C3"/>
    <mergeCell ref="D2:D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0"/>
  <sheetViews>
    <sheetView topLeftCell="B1" workbookViewId="0">
      <selection activeCell="L12" sqref="L12"/>
    </sheetView>
  </sheetViews>
  <sheetFormatPr defaultColWidth="8.85546875" defaultRowHeight="15"/>
  <cols>
    <col min="1" max="1" width="6.42578125" style="21" bestFit="1" customWidth="1"/>
    <col min="2" max="2" width="20.85546875" style="21" customWidth="1"/>
    <col min="3" max="4" width="13.42578125" style="21" bestFit="1" customWidth="1"/>
    <col min="5" max="5" width="13.42578125" style="146" bestFit="1" customWidth="1"/>
    <col min="6" max="8" width="13.42578125" style="21" bestFit="1" customWidth="1"/>
    <col min="9" max="9" width="4.85546875" style="21" bestFit="1" customWidth="1"/>
    <col min="10" max="255" width="8.85546875" style="21"/>
    <col min="256" max="256" width="6.42578125" style="21" bestFit="1" customWidth="1"/>
    <col min="257" max="257" width="36.28515625" style="21" bestFit="1" customWidth="1"/>
    <col min="258" max="263" width="13.42578125" style="21" bestFit="1" customWidth="1"/>
    <col min="264" max="264" width="4.85546875" style="21" bestFit="1" customWidth="1"/>
    <col min="265" max="511" width="8.85546875" style="21"/>
    <col min="512" max="512" width="6.42578125" style="21" bestFit="1" customWidth="1"/>
    <col min="513" max="513" width="36.28515625" style="21" bestFit="1" customWidth="1"/>
    <col min="514" max="519" width="13.42578125" style="21" bestFit="1" customWidth="1"/>
    <col min="520" max="520" width="4.85546875" style="21" bestFit="1" customWidth="1"/>
    <col min="521" max="767" width="8.85546875" style="21"/>
    <col min="768" max="768" width="6.42578125" style="21" bestFit="1" customWidth="1"/>
    <col min="769" max="769" width="36.28515625" style="21" bestFit="1" customWidth="1"/>
    <col min="770" max="775" width="13.42578125" style="21" bestFit="1" customWidth="1"/>
    <col min="776" max="776" width="4.85546875" style="21" bestFit="1" customWidth="1"/>
    <col min="777" max="1023" width="8.85546875" style="21"/>
    <col min="1024" max="1024" width="6.42578125" style="21" bestFit="1" customWidth="1"/>
    <col min="1025" max="1025" width="36.28515625" style="21" bestFit="1" customWidth="1"/>
    <col min="1026" max="1031" width="13.42578125" style="21" bestFit="1" customWidth="1"/>
    <col min="1032" max="1032" width="4.85546875" style="21" bestFit="1" customWidth="1"/>
    <col min="1033" max="1279" width="8.85546875" style="21"/>
    <col min="1280" max="1280" width="6.42578125" style="21" bestFit="1" customWidth="1"/>
    <col min="1281" max="1281" width="36.28515625" style="21" bestFit="1" customWidth="1"/>
    <col min="1282" max="1287" width="13.42578125" style="21" bestFit="1" customWidth="1"/>
    <col min="1288" max="1288" width="4.85546875" style="21" bestFit="1" customWidth="1"/>
    <col min="1289" max="1535" width="8.85546875" style="21"/>
    <col min="1536" max="1536" width="6.42578125" style="21" bestFit="1" customWidth="1"/>
    <col min="1537" max="1537" width="36.28515625" style="21" bestFit="1" customWidth="1"/>
    <col min="1538" max="1543" width="13.42578125" style="21" bestFit="1" customWidth="1"/>
    <col min="1544" max="1544" width="4.85546875" style="21" bestFit="1" customWidth="1"/>
    <col min="1545" max="1791" width="8.85546875" style="21"/>
    <col min="1792" max="1792" width="6.42578125" style="21" bestFit="1" customWidth="1"/>
    <col min="1793" max="1793" width="36.28515625" style="21" bestFit="1" customWidth="1"/>
    <col min="1794" max="1799" width="13.42578125" style="21" bestFit="1" customWidth="1"/>
    <col min="1800" max="1800" width="4.85546875" style="21" bestFit="1" customWidth="1"/>
    <col min="1801" max="2047" width="8.85546875" style="21"/>
    <col min="2048" max="2048" width="6.42578125" style="21" bestFit="1" customWidth="1"/>
    <col min="2049" max="2049" width="36.28515625" style="21" bestFit="1" customWidth="1"/>
    <col min="2050" max="2055" width="13.42578125" style="21" bestFit="1" customWidth="1"/>
    <col min="2056" max="2056" width="4.85546875" style="21" bestFit="1" customWidth="1"/>
    <col min="2057" max="2303" width="8.85546875" style="21"/>
    <col min="2304" max="2304" width="6.42578125" style="21" bestFit="1" customWidth="1"/>
    <col min="2305" max="2305" width="36.28515625" style="21" bestFit="1" customWidth="1"/>
    <col min="2306" max="2311" width="13.42578125" style="21" bestFit="1" customWidth="1"/>
    <col min="2312" max="2312" width="4.85546875" style="21" bestFit="1" customWidth="1"/>
    <col min="2313" max="2559" width="8.85546875" style="21"/>
    <col min="2560" max="2560" width="6.42578125" style="21" bestFit="1" customWidth="1"/>
    <col min="2561" max="2561" width="36.28515625" style="21" bestFit="1" customWidth="1"/>
    <col min="2562" max="2567" width="13.42578125" style="21" bestFit="1" customWidth="1"/>
    <col min="2568" max="2568" width="4.85546875" style="21" bestFit="1" customWidth="1"/>
    <col min="2569" max="2815" width="8.85546875" style="21"/>
    <col min="2816" max="2816" width="6.42578125" style="21" bestFit="1" customWidth="1"/>
    <col min="2817" max="2817" width="36.28515625" style="21" bestFit="1" customWidth="1"/>
    <col min="2818" max="2823" width="13.42578125" style="21" bestFit="1" customWidth="1"/>
    <col min="2824" max="2824" width="4.85546875" style="21" bestFit="1" customWidth="1"/>
    <col min="2825" max="3071" width="8.85546875" style="21"/>
    <col min="3072" max="3072" width="6.42578125" style="21" bestFit="1" customWidth="1"/>
    <col min="3073" max="3073" width="36.28515625" style="21" bestFit="1" customWidth="1"/>
    <col min="3074" max="3079" width="13.42578125" style="21" bestFit="1" customWidth="1"/>
    <col min="3080" max="3080" width="4.85546875" style="21" bestFit="1" customWidth="1"/>
    <col min="3081" max="3327" width="8.85546875" style="21"/>
    <col min="3328" max="3328" width="6.42578125" style="21" bestFit="1" customWidth="1"/>
    <col min="3329" max="3329" width="36.28515625" style="21" bestFit="1" customWidth="1"/>
    <col min="3330" max="3335" width="13.42578125" style="21" bestFit="1" customWidth="1"/>
    <col min="3336" max="3336" width="4.85546875" style="21" bestFit="1" customWidth="1"/>
    <col min="3337" max="3583" width="8.85546875" style="21"/>
    <col min="3584" max="3584" width="6.42578125" style="21" bestFit="1" customWidth="1"/>
    <col min="3585" max="3585" width="36.28515625" style="21" bestFit="1" customWidth="1"/>
    <col min="3586" max="3591" width="13.42578125" style="21" bestFit="1" customWidth="1"/>
    <col min="3592" max="3592" width="4.85546875" style="21" bestFit="1" customWidth="1"/>
    <col min="3593" max="3839" width="8.85546875" style="21"/>
    <col min="3840" max="3840" width="6.42578125" style="21" bestFit="1" customWidth="1"/>
    <col min="3841" max="3841" width="36.28515625" style="21" bestFit="1" customWidth="1"/>
    <col min="3842" max="3847" width="13.42578125" style="21" bestFit="1" customWidth="1"/>
    <col min="3848" max="3848" width="4.85546875" style="21" bestFit="1" customWidth="1"/>
    <col min="3849" max="4095" width="8.85546875" style="21"/>
    <col min="4096" max="4096" width="6.42578125" style="21" bestFit="1" customWidth="1"/>
    <col min="4097" max="4097" width="36.28515625" style="21" bestFit="1" customWidth="1"/>
    <col min="4098" max="4103" width="13.42578125" style="21" bestFit="1" customWidth="1"/>
    <col min="4104" max="4104" width="4.85546875" style="21" bestFit="1" customWidth="1"/>
    <col min="4105" max="4351" width="8.85546875" style="21"/>
    <col min="4352" max="4352" width="6.42578125" style="21" bestFit="1" customWidth="1"/>
    <col min="4353" max="4353" width="36.28515625" style="21" bestFit="1" customWidth="1"/>
    <col min="4354" max="4359" width="13.42578125" style="21" bestFit="1" customWidth="1"/>
    <col min="4360" max="4360" width="4.85546875" style="21" bestFit="1" customWidth="1"/>
    <col min="4361" max="4607" width="8.85546875" style="21"/>
    <col min="4608" max="4608" width="6.42578125" style="21" bestFit="1" customWidth="1"/>
    <col min="4609" max="4609" width="36.28515625" style="21" bestFit="1" customWidth="1"/>
    <col min="4610" max="4615" width="13.42578125" style="21" bestFit="1" customWidth="1"/>
    <col min="4616" max="4616" width="4.85546875" style="21" bestFit="1" customWidth="1"/>
    <col min="4617" max="4863" width="8.85546875" style="21"/>
    <col min="4864" max="4864" width="6.42578125" style="21" bestFit="1" customWidth="1"/>
    <col min="4865" max="4865" width="36.28515625" style="21" bestFit="1" customWidth="1"/>
    <col min="4866" max="4871" width="13.42578125" style="21" bestFit="1" customWidth="1"/>
    <col min="4872" max="4872" width="4.85546875" style="21" bestFit="1" customWidth="1"/>
    <col min="4873" max="5119" width="8.85546875" style="21"/>
    <col min="5120" max="5120" width="6.42578125" style="21" bestFit="1" customWidth="1"/>
    <col min="5121" max="5121" width="36.28515625" style="21" bestFit="1" customWidth="1"/>
    <col min="5122" max="5127" width="13.42578125" style="21" bestFit="1" customWidth="1"/>
    <col min="5128" max="5128" width="4.85546875" style="21" bestFit="1" customWidth="1"/>
    <col min="5129" max="5375" width="8.85546875" style="21"/>
    <col min="5376" max="5376" width="6.42578125" style="21" bestFit="1" customWidth="1"/>
    <col min="5377" max="5377" width="36.28515625" style="21" bestFit="1" customWidth="1"/>
    <col min="5378" max="5383" width="13.42578125" style="21" bestFit="1" customWidth="1"/>
    <col min="5384" max="5384" width="4.85546875" style="21" bestFit="1" customWidth="1"/>
    <col min="5385" max="5631" width="8.85546875" style="21"/>
    <col min="5632" max="5632" width="6.42578125" style="21" bestFit="1" customWidth="1"/>
    <col min="5633" max="5633" width="36.28515625" style="21" bestFit="1" customWidth="1"/>
    <col min="5634" max="5639" width="13.42578125" style="21" bestFit="1" customWidth="1"/>
    <col min="5640" max="5640" width="4.85546875" style="21" bestFit="1" customWidth="1"/>
    <col min="5641" max="5887" width="8.85546875" style="21"/>
    <col min="5888" max="5888" width="6.42578125" style="21" bestFit="1" customWidth="1"/>
    <col min="5889" max="5889" width="36.28515625" style="21" bestFit="1" customWidth="1"/>
    <col min="5890" max="5895" width="13.42578125" style="21" bestFit="1" customWidth="1"/>
    <col min="5896" max="5896" width="4.85546875" style="21" bestFit="1" customWidth="1"/>
    <col min="5897" max="6143" width="8.85546875" style="21"/>
    <col min="6144" max="6144" width="6.42578125" style="21" bestFit="1" customWidth="1"/>
    <col min="6145" max="6145" width="36.28515625" style="21" bestFit="1" customWidth="1"/>
    <col min="6146" max="6151" width="13.42578125" style="21" bestFit="1" customWidth="1"/>
    <col min="6152" max="6152" width="4.85546875" style="21" bestFit="1" customWidth="1"/>
    <col min="6153" max="6399" width="8.85546875" style="21"/>
    <col min="6400" max="6400" width="6.42578125" style="21" bestFit="1" customWidth="1"/>
    <col min="6401" max="6401" width="36.28515625" style="21" bestFit="1" customWidth="1"/>
    <col min="6402" max="6407" width="13.42578125" style="21" bestFit="1" customWidth="1"/>
    <col min="6408" max="6408" width="4.85546875" style="21" bestFit="1" customWidth="1"/>
    <col min="6409" max="6655" width="8.85546875" style="21"/>
    <col min="6656" max="6656" width="6.42578125" style="21" bestFit="1" customWidth="1"/>
    <col min="6657" max="6657" width="36.28515625" style="21" bestFit="1" customWidth="1"/>
    <col min="6658" max="6663" width="13.42578125" style="21" bestFit="1" customWidth="1"/>
    <col min="6664" max="6664" width="4.85546875" style="21" bestFit="1" customWidth="1"/>
    <col min="6665" max="6911" width="8.85546875" style="21"/>
    <col min="6912" max="6912" width="6.42578125" style="21" bestFit="1" customWidth="1"/>
    <col min="6913" max="6913" width="36.28515625" style="21" bestFit="1" customWidth="1"/>
    <col min="6914" max="6919" width="13.42578125" style="21" bestFit="1" customWidth="1"/>
    <col min="6920" max="6920" width="4.85546875" style="21" bestFit="1" customWidth="1"/>
    <col min="6921" max="7167" width="8.85546875" style="21"/>
    <col min="7168" max="7168" width="6.42578125" style="21" bestFit="1" customWidth="1"/>
    <col min="7169" max="7169" width="36.28515625" style="21" bestFit="1" customWidth="1"/>
    <col min="7170" max="7175" width="13.42578125" style="21" bestFit="1" customWidth="1"/>
    <col min="7176" max="7176" width="4.85546875" style="21" bestFit="1" customWidth="1"/>
    <col min="7177" max="7423" width="8.85546875" style="21"/>
    <col min="7424" max="7424" width="6.42578125" style="21" bestFit="1" customWidth="1"/>
    <col min="7425" max="7425" width="36.28515625" style="21" bestFit="1" customWidth="1"/>
    <col min="7426" max="7431" width="13.42578125" style="21" bestFit="1" customWidth="1"/>
    <col min="7432" max="7432" width="4.85546875" style="21" bestFit="1" customWidth="1"/>
    <col min="7433" max="7679" width="8.85546875" style="21"/>
    <col min="7680" max="7680" width="6.42578125" style="21" bestFit="1" customWidth="1"/>
    <col min="7681" max="7681" width="36.28515625" style="21" bestFit="1" customWidth="1"/>
    <col min="7682" max="7687" width="13.42578125" style="21" bestFit="1" customWidth="1"/>
    <col min="7688" max="7688" width="4.85546875" style="21" bestFit="1" customWidth="1"/>
    <col min="7689" max="7935" width="8.85546875" style="21"/>
    <col min="7936" max="7936" width="6.42578125" style="21" bestFit="1" customWidth="1"/>
    <col min="7937" max="7937" width="36.28515625" style="21" bestFit="1" customWidth="1"/>
    <col min="7938" max="7943" width="13.42578125" style="21" bestFit="1" customWidth="1"/>
    <col min="7944" max="7944" width="4.85546875" style="21" bestFit="1" customWidth="1"/>
    <col min="7945" max="8191" width="8.85546875" style="21"/>
    <col min="8192" max="8192" width="6.42578125" style="21" bestFit="1" customWidth="1"/>
    <col min="8193" max="8193" width="36.28515625" style="21" bestFit="1" customWidth="1"/>
    <col min="8194" max="8199" width="13.42578125" style="21" bestFit="1" customWidth="1"/>
    <col min="8200" max="8200" width="4.85546875" style="21" bestFit="1" customWidth="1"/>
    <col min="8201" max="8447" width="8.85546875" style="21"/>
    <col min="8448" max="8448" width="6.42578125" style="21" bestFit="1" customWidth="1"/>
    <col min="8449" max="8449" width="36.28515625" style="21" bestFit="1" customWidth="1"/>
    <col min="8450" max="8455" width="13.42578125" style="21" bestFit="1" customWidth="1"/>
    <col min="8456" max="8456" width="4.85546875" style="21" bestFit="1" customWidth="1"/>
    <col min="8457" max="8703" width="8.85546875" style="21"/>
    <col min="8704" max="8704" width="6.42578125" style="21" bestFit="1" customWidth="1"/>
    <col min="8705" max="8705" width="36.28515625" style="21" bestFit="1" customWidth="1"/>
    <col min="8706" max="8711" width="13.42578125" style="21" bestFit="1" customWidth="1"/>
    <col min="8712" max="8712" width="4.85546875" style="21" bestFit="1" customWidth="1"/>
    <col min="8713" max="8959" width="8.85546875" style="21"/>
    <col min="8960" max="8960" width="6.42578125" style="21" bestFit="1" customWidth="1"/>
    <col min="8961" max="8961" width="36.28515625" style="21" bestFit="1" customWidth="1"/>
    <col min="8962" max="8967" width="13.42578125" style="21" bestFit="1" customWidth="1"/>
    <col min="8968" max="8968" width="4.85546875" style="21" bestFit="1" customWidth="1"/>
    <col min="8969" max="9215" width="8.85546875" style="21"/>
    <col min="9216" max="9216" width="6.42578125" style="21" bestFit="1" customWidth="1"/>
    <col min="9217" max="9217" width="36.28515625" style="21" bestFit="1" customWidth="1"/>
    <col min="9218" max="9223" width="13.42578125" style="21" bestFit="1" customWidth="1"/>
    <col min="9224" max="9224" width="4.85546875" style="21" bestFit="1" customWidth="1"/>
    <col min="9225" max="9471" width="8.85546875" style="21"/>
    <col min="9472" max="9472" width="6.42578125" style="21" bestFit="1" customWidth="1"/>
    <col min="9473" max="9473" width="36.28515625" style="21" bestFit="1" customWidth="1"/>
    <col min="9474" max="9479" width="13.42578125" style="21" bestFit="1" customWidth="1"/>
    <col min="9480" max="9480" width="4.85546875" style="21" bestFit="1" customWidth="1"/>
    <col min="9481" max="9727" width="8.85546875" style="21"/>
    <col min="9728" max="9728" width="6.42578125" style="21" bestFit="1" customWidth="1"/>
    <col min="9729" max="9729" width="36.28515625" style="21" bestFit="1" customWidth="1"/>
    <col min="9730" max="9735" width="13.42578125" style="21" bestFit="1" customWidth="1"/>
    <col min="9736" max="9736" width="4.85546875" style="21" bestFit="1" customWidth="1"/>
    <col min="9737" max="9983" width="8.85546875" style="21"/>
    <col min="9984" max="9984" width="6.42578125" style="21" bestFit="1" customWidth="1"/>
    <col min="9985" max="9985" width="36.28515625" style="21" bestFit="1" customWidth="1"/>
    <col min="9986" max="9991" width="13.42578125" style="21" bestFit="1" customWidth="1"/>
    <col min="9992" max="9992" width="4.85546875" style="21" bestFit="1" customWidth="1"/>
    <col min="9993" max="10239" width="8.85546875" style="21"/>
    <col min="10240" max="10240" width="6.42578125" style="21" bestFit="1" customWidth="1"/>
    <col min="10241" max="10241" width="36.28515625" style="21" bestFit="1" customWidth="1"/>
    <col min="10242" max="10247" width="13.42578125" style="21" bestFit="1" customWidth="1"/>
    <col min="10248" max="10248" width="4.85546875" style="21" bestFit="1" customWidth="1"/>
    <col min="10249" max="10495" width="8.85546875" style="21"/>
    <col min="10496" max="10496" width="6.42578125" style="21" bestFit="1" customWidth="1"/>
    <col min="10497" max="10497" width="36.28515625" style="21" bestFit="1" customWidth="1"/>
    <col min="10498" max="10503" width="13.42578125" style="21" bestFit="1" customWidth="1"/>
    <col min="10504" max="10504" width="4.85546875" style="21" bestFit="1" customWidth="1"/>
    <col min="10505" max="10751" width="8.85546875" style="21"/>
    <col min="10752" max="10752" width="6.42578125" style="21" bestFit="1" customWidth="1"/>
    <col min="10753" max="10753" width="36.28515625" style="21" bestFit="1" customWidth="1"/>
    <col min="10754" max="10759" width="13.42578125" style="21" bestFit="1" customWidth="1"/>
    <col min="10760" max="10760" width="4.85546875" style="21" bestFit="1" customWidth="1"/>
    <col min="10761" max="11007" width="8.85546875" style="21"/>
    <col min="11008" max="11008" width="6.42578125" style="21" bestFit="1" customWidth="1"/>
    <col min="11009" max="11009" width="36.28515625" style="21" bestFit="1" customWidth="1"/>
    <col min="11010" max="11015" width="13.42578125" style="21" bestFit="1" customWidth="1"/>
    <col min="11016" max="11016" width="4.85546875" style="21" bestFit="1" customWidth="1"/>
    <col min="11017" max="11263" width="8.85546875" style="21"/>
    <col min="11264" max="11264" width="6.42578125" style="21" bestFit="1" customWidth="1"/>
    <col min="11265" max="11265" width="36.28515625" style="21" bestFit="1" customWidth="1"/>
    <col min="11266" max="11271" width="13.42578125" style="21" bestFit="1" customWidth="1"/>
    <col min="11272" max="11272" width="4.85546875" style="21" bestFit="1" customWidth="1"/>
    <col min="11273" max="11519" width="8.85546875" style="21"/>
    <col min="11520" max="11520" width="6.42578125" style="21" bestFit="1" customWidth="1"/>
    <col min="11521" max="11521" width="36.28515625" style="21" bestFit="1" customWidth="1"/>
    <col min="11522" max="11527" width="13.42578125" style="21" bestFit="1" customWidth="1"/>
    <col min="11528" max="11528" width="4.85546875" style="21" bestFit="1" customWidth="1"/>
    <col min="11529" max="11775" width="8.85546875" style="21"/>
    <col min="11776" max="11776" width="6.42578125" style="21" bestFit="1" customWidth="1"/>
    <col min="11777" max="11777" width="36.28515625" style="21" bestFit="1" customWidth="1"/>
    <col min="11778" max="11783" width="13.42578125" style="21" bestFit="1" customWidth="1"/>
    <col min="11784" max="11784" width="4.85546875" style="21" bestFit="1" customWidth="1"/>
    <col min="11785" max="12031" width="8.85546875" style="21"/>
    <col min="12032" max="12032" width="6.42578125" style="21" bestFit="1" customWidth="1"/>
    <col min="12033" max="12033" width="36.28515625" style="21" bestFit="1" customWidth="1"/>
    <col min="12034" max="12039" width="13.42578125" style="21" bestFit="1" customWidth="1"/>
    <col min="12040" max="12040" width="4.85546875" style="21" bestFit="1" customWidth="1"/>
    <col min="12041" max="12287" width="8.85546875" style="21"/>
    <col min="12288" max="12288" width="6.42578125" style="21" bestFit="1" customWidth="1"/>
    <col min="12289" max="12289" width="36.28515625" style="21" bestFit="1" customWidth="1"/>
    <col min="12290" max="12295" width="13.42578125" style="21" bestFit="1" customWidth="1"/>
    <col min="12296" max="12296" width="4.85546875" style="21" bestFit="1" customWidth="1"/>
    <col min="12297" max="12543" width="8.85546875" style="21"/>
    <col min="12544" max="12544" width="6.42578125" style="21" bestFit="1" customWidth="1"/>
    <col min="12545" max="12545" width="36.28515625" style="21" bestFit="1" customWidth="1"/>
    <col min="12546" max="12551" width="13.42578125" style="21" bestFit="1" customWidth="1"/>
    <col min="12552" max="12552" width="4.85546875" style="21" bestFit="1" customWidth="1"/>
    <col min="12553" max="12799" width="8.85546875" style="21"/>
    <col min="12800" max="12800" width="6.42578125" style="21" bestFit="1" customWidth="1"/>
    <col min="12801" max="12801" width="36.28515625" style="21" bestFit="1" customWidth="1"/>
    <col min="12802" max="12807" width="13.42578125" style="21" bestFit="1" customWidth="1"/>
    <col min="12808" max="12808" width="4.85546875" style="21" bestFit="1" customWidth="1"/>
    <col min="12809" max="13055" width="8.85546875" style="21"/>
    <col min="13056" max="13056" width="6.42578125" style="21" bestFit="1" customWidth="1"/>
    <col min="13057" max="13057" width="36.28515625" style="21" bestFit="1" customWidth="1"/>
    <col min="13058" max="13063" width="13.42578125" style="21" bestFit="1" customWidth="1"/>
    <col min="13064" max="13064" width="4.85546875" style="21" bestFit="1" customWidth="1"/>
    <col min="13065" max="13311" width="8.85546875" style="21"/>
    <col min="13312" max="13312" width="6.42578125" style="21" bestFit="1" customWidth="1"/>
    <col min="13313" max="13313" width="36.28515625" style="21" bestFit="1" customWidth="1"/>
    <col min="13314" max="13319" width="13.42578125" style="21" bestFit="1" customWidth="1"/>
    <col min="13320" max="13320" width="4.85546875" style="21" bestFit="1" customWidth="1"/>
    <col min="13321" max="13567" width="8.85546875" style="21"/>
    <col min="13568" max="13568" width="6.42578125" style="21" bestFit="1" customWidth="1"/>
    <col min="13569" max="13569" width="36.28515625" style="21" bestFit="1" customWidth="1"/>
    <col min="13570" max="13575" width="13.42578125" style="21" bestFit="1" customWidth="1"/>
    <col min="13576" max="13576" width="4.85546875" style="21" bestFit="1" customWidth="1"/>
    <col min="13577" max="13823" width="8.85546875" style="21"/>
    <col min="13824" max="13824" width="6.42578125" style="21" bestFit="1" customWidth="1"/>
    <col min="13825" max="13825" width="36.28515625" style="21" bestFit="1" customWidth="1"/>
    <col min="13826" max="13831" width="13.42578125" style="21" bestFit="1" customWidth="1"/>
    <col min="13832" max="13832" width="4.85546875" style="21" bestFit="1" customWidth="1"/>
    <col min="13833" max="14079" width="8.85546875" style="21"/>
    <col min="14080" max="14080" width="6.42578125" style="21" bestFit="1" customWidth="1"/>
    <col min="14081" max="14081" width="36.28515625" style="21" bestFit="1" customWidth="1"/>
    <col min="14082" max="14087" width="13.42578125" style="21" bestFit="1" customWidth="1"/>
    <col min="14088" max="14088" width="4.85546875" style="21" bestFit="1" customWidth="1"/>
    <col min="14089" max="14335" width="8.85546875" style="21"/>
    <col min="14336" max="14336" width="6.42578125" style="21" bestFit="1" customWidth="1"/>
    <col min="14337" max="14337" width="36.28515625" style="21" bestFit="1" customWidth="1"/>
    <col min="14338" max="14343" width="13.42578125" style="21" bestFit="1" customWidth="1"/>
    <col min="14344" max="14344" width="4.85546875" style="21" bestFit="1" customWidth="1"/>
    <col min="14345" max="14591" width="8.85546875" style="21"/>
    <col min="14592" max="14592" width="6.42578125" style="21" bestFit="1" customWidth="1"/>
    <col min="14593" max="14593" width="36.28515625" style="21" bestFit="1" customWidth="1"/>
    <col min="14594" max="14599" width="13.42578125" style="21" bestFit="1" customWidth="1"/>
    <col min="14600" max="14600" width="4.85546875" style="21" bestFit="1" customWidth="1"/>
    <col min="14601" max="14847" width="8.85546875" style="21"/>
    <col min="14848" max="14848" width="6.42578125" style="21" bestFit="1" customWidth="1"/>
    <col min="14849" max="14849" width="36.28515625" style="21" bestFit="1" customWidth="1"/>
    <col min="14850" max="14855" width="13.42578125" style="21" bestFit="1" customWidth="1"/>
    <col min="14856" max="14856" width="4.85546875" style="21" bestFit="1" customWidth="1"/>
    <col min="14857" max="15103" width="8.85546875" style="21"/>
    <col min="15104" max="15104" width="6.42578125" style="21" bestFit="1" customWidth="1"/>
    <col min="15105" max="15105" width="36.28515625" style="21" bestFit="1" customWidth="1"/>
    <col min="15106" max="15111" width="13.42578125" style="21" bestFit="1" customWidth="1"/>
    <col min="15112" max="15112" width="4.85546875" style="21" bestFit="1" customWidth="1"/>
    <col min="15113" max="15359" width="8.85546875" style="21"/>
    <col min="15360" max="15360" width="6.42578125" style="21" bestFit="1" customWidth="1"/>
    <col min="15361" max="15361" width="36.28515625" style="21" bestFit="1" customWidth="1"/>
    <col min="15362" max="15367" width="13.42578125" style="21" bestFit="1" customWidth="1"/>
    <col min="15368" max="15368" width="4.85546875" style="21" bestFit="1" customWidth="1"/>
    <col min="15369" max="15615" width="8.85546875" style="21"/>
    <col min="15616" max="15616" width="6.42578125" style="21" bestFit="1" customWidth="1"/>
    <col min="15617" max="15617" width="36.28515625" style="21" bestFit="1" customWidth="1"/>
    <col min="15618" max="15623" width="13.42578125" style="21" bestFit="1" customWidth="1"/>
    <col min="15624" max="15624" width="4.85546875" style="21" bestFit="1" customWidth="1"/>
    <col min="15625" max="15871" width="8.85546875" style="21"/>
    <col min="15872" max="15872" width="6.42578125" style="21" bestFit="1" customWidth="1"/>
    <col min="15873" max="15873" width="36.28515625" style="21" bestFit="1" customWidth="1"/>
    <col min="15874" max="15879" width="13.42578125" style="21" bestFit="1" customWidth="1"/>
    <col min="15880" max="15880" width="4.85546875" style="21" bestFit="1" customWidth="1"/>
    <col min="15881" max="16127" width="8.85546875" style="21"/>
    <col min="16128" max="16128" width="6.42578125" style="21" bestFit="1" customWidth="1"/>
    <col min="16129" max="16129" width="36.28515625" style="21" bestFit="1" customWidth="1"/>
    <col min="16130" max="16135" width="13.42578125" style="21" bestFit="1" customWidth="1"/>
    <col min="16136" max="16136" width="4.85546875" style="21" bestFit="1" customWidth="1"/>
    <col min="16137" max="16384" width="8.85546875" style="21"/>
  </cols>
  <sheetData>
    <row r="1" spans="1:8" ht="13.5" customHeight="1">
      <c r="A1" s="1281" t="s">
        <v>366</v>
      </c>
      <c r="B1" s="1281"/>
      <c r="C1" s="1281"/>
      <c r="D1" s="1281"/>
      <c r="E1" s="1281"/>
      <c r="F1" s="1281"/>
      <c r="G1" s="1281"/>
      <c r="H1" s="1281"/>
    </row>
    <row r="2" spans="1:8" s="24" customFormat="1" ht="19.5" customHeight="1">
      <c r="A2" s="1282" t="s">
        <v>360</v>
      </c>
      <c r="B2" s="1282"/>
      <c r="C2" s="1282"/>
      <c r="D2" s="1282"/>
      <c r="E2" s="1282"/>
      <c r="F2" s="1282"/>
      <c r="G2" s="1282"/>
      <c r="H2" s="1282"/>
    </row>
    <row r="3" spans="1:8" s="24" customFormat="1" ht="15" customHeight="1">
      <c r="A3" s="1283" t="s">
        <v>129</v>
      </c>
      <c r="B3" s="1283" t="s">
        <v>130</v>
      </c>
      <c r="C3" s="1284" t="s">
        <v>87</v>
      </c>
      <c r="D3" s="1284"/>
      <c r="E3" s="1285" t="s">
        <v>88</v>
      </c>
      <c r="F3" s="1285"/>
      <c r="G3" s="1283" t="s">
        <v>89</v>
      </c>
      <c r="H3" s="1283"/>
    </row>
    <row r="4" spans="1:8" s="24" customFormat="1">
      <c r="A4" s="1283"/>
      <c r="B4" s="1283"/>
      <c r="C4" s="133" t="s">
        <v>58</v>
      </c>
      <c r="D4" s="179" t="s">
        <v>1184</v>
      </c>
      <c r="E4" s="134" t="s">
        <v>58</v>
      </c>
      <c r="F4" s="179" t="s">
        <v>1184</v>
      </c>
      <c r="G4" s="133" t="s">
        <v>58</v>
      </c>
      <c r="H4" s="179" t="s">
        <v>1184</v>
      </c>
    </row>
    <row r="5" spans="1:8" s="24" customFormat="1" ht="18" customHeight="1">
      <c r="A5" s="135">
        <v>1</v>
      </c>
      <c r="B5" s="136" t="s">
        <v>131</v>
      </c>
      <c r="C5" s="137">
        <v>2.2055113240000002</v>
      </c>
      <c r="D5" s="138">
        <v>13.656209657</v>
      </c>
      <c r="E5" s="139">
        <v>1.65</v>
      </c>
      <c r="F5" s="138">
        <v>5.51</v>
      </c>
      <c r="G5" s="140">
        <v>1.04</v>
      </c>
      <c r="H5" s="141">
        <v>0</v>
      </c>
    </row>
    <row r="6" spans="1:8" s="24" customFormat="1" ht="18" customHeight="1">
      <c r="A6" s="106">
        <v>2</v>
      </c>
      <c r="B6" s="142" t="s">
        <v>132</v>
      </c>
      <c r="C6" s="143">
        <v>1.1804078</v>
      </c>
      <c r="D6" s="138">
        <v>0.61332004299999998</v>
      </c>
      <c r="E6" s="144">
        <v>3.22</v>
      </c>
      <c r="F6" s="138">
        <v>1.2</v>
      </c>
      <c r="G6" s="140">
        <v>0</v>
      </c>
      <c r="H6" s="140">
        <v>0</v>
      </c>
    </row>
    <row r="7" spans="1:8" s="24" customFormat="1" ht="18" customHeight="1">
      <c r="A7" s="106">
        <v>3</v>
      </c>
      <c r="B7" s="142" t="s">
        <v>133</v>
      </c>
      <c r="C7" s="143">
        <v>0.73076405899999997</v>
      </c>
      <c r="D7" s="138">
        <v>0.327314149</v>
      </c>
      <c r="E7" s="144">
        <v>0.24</v>
      </c>
      <c r="F7" s="138">
        <v>0.16</v>
      </c>
      <c r="G7" s="140">
        <v>0</v>
      </c>
      <c r="H7" s="140">
        <v>0</v>
      </c>
    </row>
    <row r="8" spans="1:8" s="24" customFormat="1" ht="18" customHeight="1">
      <c r="A8" s="106">
        <v>4</v>
      </c>
      <c r="B8" s="142" t="s">
        <v>134</v>
      </c>
      <c r="C8" s="143">
        <v>1.6662054999999999E-2</v>
      </c>
      <c r="D8" s="138">
        <v>1.0154689E-2</v>
      </c>
      <c r="E8" s="144">
        <v>0</v>
      </c>
      <c r="F8" s="138">
        <v>0</v>
      </c>
      <c r="G8" s="140">
        <v>0</v>
      </c>
      <c r="H8" s="140">
        <v>0</v>
      </c>
    </row>
    <row r="9" spans="1:8" s="24" customFormat="1" ht="18" customHeight="1">
      <c r="A9" s="106">
        <v>5</v>
      </c>
      <c r="B9" s="142" t="s">
        <v>135</v>
      </c>
      <c r="C9" s="143">
        <v>0.73378679199999997</v>
      </c>
      <c r="D9" s="138">
        <v>0.13452097099999999</v>
      </c>
      <c r="E9" s="144">
        <v>0.87</v>
      </c>
      <c r="F9" s="138">
        <v>0.62</v>
      </c>
      <c r="G9" s="140">
        <v>0</v>
      </c>
      <c r="H9" s="140">
        <v>0</v>
      </c>
    </row>
    <row r="10" spans="1:8" s="24" customFormat="1" ht="18" customHeight="1">
      <c r="A10" s="106">
        <v>6</v>
      </c>
      <c r="B10" s="145" t="s">
        <v>1129</v>
      </c>
      <c r="C10" s="143">
        <v>8.0620224000000004E-2</v>
      </c>
      <c r="D10" s="138">
        <v>4.8755095999999998E-2</v>
      </c>
      <c r="E10" s="144">
        <v>0.7</v>
      </c>
      <c r="F10" s="138">
        <v>0.6</v>
      </c>
      <c r="G10" s="140">
        <v>0</v>
      </c>
      <c r="H10" s="140">
        <v>0</v>
      </c>
    </row>
    <row r="11" spans="1:8" s="24" customFormat="1" ht="18" customHeight="1">
      <c r="A11" s="106">
        <v>7</v>
      </c>
      <c r="B11" s="142" t="s">
        <v>136</v>
      </c>
      <c r="C11" s="143">
        <v>2.5038392E-2</v>
      </c>
      <c r="D11" s="138">
        <v>1.2845392000000001E-2</v>
      </c>
      <c r="E11" s="144">
        <v>0.05</v>
      </c>
      <c r="F11" s="138">
        <v>0.05</v>
      </c>
      <c r="G11" s="140">
        <v>0</v>
      </c>
      <c r="H11" s="140">
        <v>0</v>
      </c>
    </row>
    <row r="12" spans="1:8" s="24" customFormat="1" ht="18" customHeight="1">
      <c r="A12" s="106">
        <v>8</v>
      </c>
      <c r="B12" s="142" t="s">
        <v>137</v>
      </c>
      <c r="C12" s="143">
        <v>1.080805639</v>
      </c>
      <c r="D12" s="138">
        <v>1.392507419</v>
      </c>
      <c r="E12" s="144">
        <v>5.92</v>
      </c>
      <c r="F12" s="138">
        <v>4.96</v>
      </c>
      <c r="G12" s="140">
        <v>48.72</v>
      </c>
      <c r="H12" s="140">
        <v>50.9</v>
      </c>
    </row>
    <row r="13" spans="1:8" s="24" customFormat="1" ht="18" customHeight="1">
      <c r="A13" s="106">
        <v>9</v>
      </c>
      <c r="B13" s="142" t="s">
        <v>138</v>
      </c>
      <c r="C13" s="143">
        <v>2.7876812000000001E-2</v>
      </c>
      <c r="D13" s="138">
        <v>1.7977092E-2</v>
      </c>
      <c r="E13" s="144">
        <v>0</v>
      </c>
      <c r="F13" s="138">
        <v>0</v>
      </c>
      <c r="G13" s="140">
        <v>0</v>
      </c>
      <c r="H13" s="140">
        <v>0</v>
      </c>
    </row>
    <row r="14" spans="1:8" s="24" customFormat="1" ht="18" customHeight="1">
      <c r="A14" s="106">
        <v>10</v>
      </c>
      <c r="B14" s="142" t="s">
        <v>139</v>
      </c>
      <c r="C14" s="143">
        <v>0.28056737300000001</v>
      </c>
      <c r="D14" s="138">
        <v>0.30766001999999998</v>
      </c>
      <c r="E14" s="144">
        <v>3.13</v>
      </c>
      <c r="F14" s="138">
        <v>3.17</v>
      </c>
      <c r="G14" s="140">
        <v>0</v>
      </c>
      <c r="H14" s="140">
        <v>0</v>
      </c>
    </row>
    <row r="15" spans="1:8" s="24" customFormat="1" ht="18" customHeight="1">
      <c r="A15" s="106">
        <v>11</v>
      </c>
      <c r="B15" s="142" t="s">
        <v>140</v>
      </c>
      <c r="C15" s="143">
        <v>0.246330406</v>
      </c>
      <c r="D15" s="138">
        <v>0.235647416</v>
      </c>
      <c r="E15" s="144">
        <v>0.3</v>
      </c>
      <c r="F15" s="138">
        <v>0.4</v>
      </c>
      <c r="G15" s="140">
        <v>0</v>
      </c>
      <c r="H15" s="140">
        <v>0</v>
      </c>
    </row>
    <row r="16" spans="1:8" s="24" customFormat="1" ht="18" customHeight="1">
      <c r="A16" s="106">
        <v>12</v>
      </c>
      <c r="B16" s="142" t="s">
        <v>141</v>
      </c>
      <c r="C16" s="143">
        <v>0.49095509999999998</v>
      </c>
      <c r="D16" s="138">
        <v>0.27946805899999999</v>
      </c>
      <c r="E16" s="144">
        <v>0.3</v>
      </c>
      <c r="F16" s="138">
        <v>0.27</v>
      </c>
      <c r="G16" s="140">
        <v>0</v>
      </c>
      <c r="H16" s="140">
        <v>0</v>
      </c>
    </row>
    <row r="17" spans="1:8" s="24" customFormat="1" ht="18" customHeight="1">
      <c r="A17" s="106">
        <v>13</v>
      </c>
      <c r="B17" s="142" t="s">
        <v>142</v>
      </c>
      <c r="C17" s="143">
        <v>0.25279658399999999</v>
      </c>
      <c r="D17" s="138">
        <v>0.14959729199999999</v>
      </c>
      <c r="E17" s="144">
        <v>0.08</v>
      </c>
      <c r="F17" s="138">
        <v>0.15</v>
      </c>
      <c r="G17" s="140">
        <v>1.93</v>
      </c>
      <c r="H17" s="140">
        <v>0</v>
      </c>
    </row>
    <row r="18" spans="1:8" s="24" customFormat="1" ht="18" customHeight="1">
      <c r="A18" s="106">
        <v>14</v>
      </c>
      <c r="B18" s="142" t="s">
        <v>143</v>
      </c>
      <c r="C18" s="143">
        <v>3.4114442089999999</v>
      </c>
      <c r="D18" s="138">
        <v>2.3558196840000001</v>
      </c>
      <c r="E18" s="144">
        <v>5.24</v>
      </c>
      <c r="F18" s="138">
        <v>4.5999999999999996</v>
      </c>
      <c r="G18" s="140">
        <v>0</v>
      </c>
      <c r="H18" s="140">
        <v>0</v>
      </c>
    </row>
    <row r="19" spans="1:8" s="24" customFormat="1" ht="18" customHeight="1">
      <c r="A19" s="106">
        <v>15</v>
      </c>
      <c r="B19" s="142" t="s">
        <v>144</v>
      </c>
      <c r="C19" s="143">
        <v>7.3506302999999995E-2</v>
      </c>
      <c r="D19" s="138">
        <v>7.8933706000000006E-2</v>
      </c>
      <c r="E19" s="144">
        <v>0.11</v>
      </c>
      <c r="F19" s="138">
        <v>0.06</v>
      </c>
      <c r="G19" s="140">
        <v>0</v>
      </c>
      <c r="H19" s="140">
        <v>0</v>
      </c>
    </row>
    <row r="20" spans="1:8" s="24" customFormat="1" ht="18" customHeight="1">
      <c r="A20" s="106">
        <v>16</v>
      </c>
      <c r="B20" s="142" t="s">
        <v>145</v>
      </c>
      <c r="C20" s="143">
        <v>1.3216734000000001E-2</v>
      </c>
      <c r="D20" s="138">
        <v>9.0262859999999997E-3</v>
      </c>
      <c r="E20" s="144">
        <v>0</v>
      </c>
      <c r="F20" s="138">
        <v>0</v>
      </c>
      <c r="G20" s="140">
        <v>0</v>
      </c>
      <c r="H20" s="140">
        <v>0</v>
      </c>
    </row>
    <row r="21" spans="1:8" s="24" customFormat="1" ht="18" customHeight="1">
      <c r="A21" s="106">
        <v>17</v>
      </c>
      <c r="B21" s="142" t="s">
        <v>146</v>
      </c>
      <c r="C21" s="143">
        <v>51.073666179999996</v>
      </c>
      <c r="D21" s="138">
        <v>49.350882204000001</v>
      </c>
      <c r="E21" s="144">
        <v>64.040000000000006</v>
      </c>
      <c r="F21" s="138">
        <v>67.349999999999994</v>
      </c>
      <c r="G21" s="140">
        <v>21.1</v>
      </c>
      <c r="H21" s="140">
        <v>46.2</v>
      </c>
    </row>
    <row r="22" spans="1:8" s="24" customFormat="1" ht="18" customHeight="1">
      <c r="A22" s="106">
        <v>18</v>
      </c>
      <c r="B22" s="142" t="s">
        <v>147</v>
      </c>
      <c r="C22" s="143">
        <v>3.3395598999999998E-2</v>
      </c>
      <c r="D22" s="138">
        <v>1.8322814999999999E-2</v>
      </c>
      <c r="E22" s="144">
        <v>0</v>
      </c>
      <c r="F22" s="138">
        <v>0</v>
      </c>
      <c r="G22" s="140">
        <v>0</v>
      </c>
      <c r="H22" s="140">
        <v>0</v>
      </c>
    </row>
    <row r="23" spans="1:8" s="24" customFormat="1" ht="18" customHeight="1">
      <c r="A23" s="106">
        <v>19</v>
      </c>
      <c r="B23" s="142" t="s">
        <v>148</v>
      </c>
      <c r="C23" s="143">
        <v>0.26363530600000001</v>
      </c>
      <c r="D23" s="138">
        <v>0.147241235</v>
      </c>
      <c r="E23" s="144">
        <v>0.08</v>
      </c>
      <c r="F23" s="138">
        <v>0.15</v>
      </c>
      <c r="G23" s="140">
        <v>0</v>
      </c>
      <c r="H23" s="140">
        <v>0</v>
      </c>
    </row>
    <row r="24" spans="1:8" s="24" customFormat="1" ht="18" customHeight="1">
      <c r="A24" s="106">
        <v>20</v>
      </c>
      <c r="B24" s="142" t="s">
        <v>149</v>
      </c>
      <c r="C24" s="143">
        <v>1.609832749</v>
      </c>
      <c r="D24" s="138">
        <v>0.790680885</v>
      </c>
      <c r="E24" s="144">
        <v>1.07</v>
      </c>
      <c r="F24" s="138">
        <v>0.78</v>
      </c>
      <c r="G24" s="140">
        <v>0</v>
      </c>
      <c r="H24" s="140">
        <v>0</v>
      </c>
    </row>
    <row r="25" spans="1:8" s="24" customFormat="1" ht="18" customHeight="1">
      <c r="A25" s="106">
        <v>21</v>
      </c>
      <c r="B25" s="142" t="s">
        <v>150</v>
      </c>
      <c r="C25" s="143">
        <v>36.169180359999999</v>
      </c>
      <c r="D25" s="138">
        <v>30.063115890999999</v>
      </c>
      <c r="E25" s="144">
        <v>13</v>
      </c>
      <c r="F25" s="138">
        <v>9.98</v>
      </c>
      <c r="G25" s="140">
        <v>27.21</v>
      </c>
      <c r="H25" s="140">
        <v>2.9</v>
      </c>
    </row>
    <row r="26" spans="1:8" s="24" customFormat="1" ht="18" customHeight="1">
      <c r="A26" s="142"/>
      <c r="B26" s="142" t="s">
        <v>53</v>
      </c>
      <c r="C26" s="180">
        <v>100</v>
      </c>
      <c r="D26" s="90">
        <v>100</v>
      </c>
      <c r="E26" s="181">
        <v>100</v>
      </c>
      <c r="F26" s="109">
        <v>100</v>
      </c>
      <c r="G26" s="182">
        <v>100</v>
      </c>
      <c r="H26" s="180">
        <v>100</v>
      </c>
    </row>
    <row r="27" spans="1:8" s="24" customFormat="1">
      <c r="A27" s="29" t="s">
        <v>354</v>
      </c>
      <c r="B27" s="29"/>
      <c r="C27" s="30"/>
      <c r="D27" s="30"/>
      <c r="E27" s="263"/>
      <c r="F27" s="30"/>
      <c r="G27" s="30"/>
      <c r="H27" s="264"/>
    </row>
    <row r="28" spans="1:8" s="24" customFormat="1" ht="37.5" customHeight="1">
      <c r="A28" s="1278" t="s">
        <v>364</v>
      </c>
      <c r="B28" s="1279"/>
      <c r="C28" s="1279"/>
      <c r="D28" s="1279"/>
      <c r="E28" s="1279"/>
      <c r="F28" s="1279"/>
      <c r="G28" s="1279"/>
      <c r="H28" s="1280"/>
    </row>
    <row r="29" spans="1:8" s="24" customFormat="1" ht="13.5" customHeight="1">
      <c r="A29" s="1278" t="s">
        <v>82</v>
      </c>
      <c r="B29" s="1279"/>
      <c r="C29" s="1279"/>
      <c r="D29" s="1279"/>
      <c r="E29" s="1279"/>
      <c r="F29" s="1279"/>
      <c r="G29" s="1279"/>
      <c r="H29" s="1280"/>
    </row>
    <row r="30" spans="1:8" ht="28.35" customHeight="1"/>
  </sheetData>
  <mergeCells count="9">
    <mergeCell ref="A28:H28"/>
    <mergeCell ref="A29:H29"/>
    <mergeCell ref="A1:H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19"/>
  <sheetViews>
    <sheetView zoomScaleNormal="100" workbookViewId="0">
      <selection activeCell="I25" sqref="I25"/>
    </sheetView>
  </sheetViews>
  <sheetFormatPr defaultColWidth="8.85546875" defaultRowHeight="15"/>
  <cols>
    <col min="1" max="6" width="14.7109375" style="21" bestFit="1" customWidth="1"/>
    <col min="7" max="7" width="4.7109375" style="21" bestFit="1" customWidth="1"/>
    <col min="8" max="256" width="8.85546875" style="21"/>
    <col min="257" max="262" width="14.7109375" style="21" bestFit="1" customWidth="1"/>
    <col min="263" max="263" width="4.7109375" style="21" bestFit="1" customWidth="1"/>
    <col min="264" max="512" width="8.85546875" style="21"/>
    <col min="513" max="518" width="14.7109375" style="21" bestFit="1" customWidth="1"/>
    <col min="519" max="519" width="4.7109375" style="21" bestFit="1" customWidth="1"/>
    <col min="520" max="768" width="8.85546875" style="21"/>
    <col min="769" max="774" width="14.7109375" style="21" bestFit="1" customWidth="1"/>
    <col min="775" max="775" width="4.7109375" style="21" bestFit="1" customWidth="1"/>
    <col min="776" max="1024" width="8.85546875" style="21"/>
    <col min="1025" max="1030" width="14.7109375" style="21" bestFit="1" customWidth="1"/>
    <col min="1031" max="1031" width="4.7109375" style="21" bestFit="1" customWidth="1"/>
    <col min="1032" max="1280" width="8.85546875" style="21"/>
    <col min="1281" max="1286" width="14.7109375" style="21" bestFit="1" customWidth="1"/>
    <col min="1287" max="1287" width="4.7109375" style="21" bestFit="1" customWidth="1"/>
    <col min="1288" max="1536" width="8.85546875" style="21"/>
    <col min="1537" max="1542" width="14.7109375" style="21" bestFit="1" customWidth="1"/>
    <col min="1543" max="1543" width="4.7109375" style="21" bestFit="1" customWidth="1"/>
    <col min="1544" max="1792" width="8.85546875" style="21"/>
    <col min="1793" max="1798" width="14.7109375" style="21" bestFit="1" customWidth="1"/>
    <col min="1799" max="1799" width="4.7109375" style="21" bestFit="1" customWidth="1"/>
    <col min="1800" max="2048" width="8.85546875" style="21"/>
    <col min="2049" max="2054" width="14.7109375" style="21" bestFit="1" customWidth="1"/>
    <col min="2055" max="2055" width="4.7109375" style="21" bestFit="1" customWidth="1"/>
    <col min="2056" max="2304" width="8.85546875" style="21"/>
    <col min="2305" max="2310" width="14.7109375" style="21" bestFit="1" customWidth="1"/>
    <col min="2311" max="2311" width="4.7109375" style="21" bestFit="1" customWidth="1"/>
    <col min="2312" max="2560" width="8.85546875" style="21"/>
    <col min="2561" max="2566" width="14.7109375" style="21" bestFit="1" customWidth="1"/>
    <col min="2567" max="2567" width="4.7109375" style="21" bestFit="1" customWidth="1"/>
    <col min="2568" max="2816" width="8.85546875" style="21"/>
    <col min="2817" max="2822" width="14.7109375" style="21" bestFit="1" customWidth="1"/>
    <col min="2823" max="2823" width="4.7109375" style="21" bestFit="1" customWidth="1"/>
    <col min="2824" max="3072" width="8.85546875" style="21"/>
    <col min="3073" max="3078" width="14.7109375" style="21" bestFit="1" customWidth="1"/>
    <col min="3079" max="3079" width="4.7109375" style="21" bestFit="1" customWidth="1"/>
    <col min="3080" max="3328" width="8.85546875" style="21"/>
    <col min="3329" max="3334" width="14.7109375" style="21" bestFit="1" customWidth="1"/>
    <col min="3335" max="3335" width="4.7109375" style="21" bestFit="1" customWidth="1"/>
    <col min="3336" max="3584" width="8.85546875" style="21"/>
    <col min="3585" max="3590" width="14.7109375" style="21" bestFit="1" customWidth="1"/>
    <col min="3591" max="3591" width="4.7109375" style="21" bestFit="1" customWidth="1"/>
    <col min="3592" max="3840" width="8.85546875" style="21"/>
    <col min="3841" max="3846" width="14.7109375" style="21" bestFit="1" customWidth="1"/>
    <col min="3847" max="3847" width="4.7109375" style="21" bestFit="1" customWidth="1"/>
    <col min="3848" max="4096" width="8.85546875" style="21"/>
    <col min="4097" max="4102" width="14.7109375" style="21" bestFit="1" customWidth="1"/>
    <col min="4103" max="4103" width="4.7109375" style="21" bestFit="1" customWidth="1"/>
    <col min="4104" max="4352" width="8.85546875" style="21"/>
    <col min="4353" max="4358" width="14.7109375" style="21" bestFit="1" customWidth="1"/>
    <col min="4359" max="4359" width="4.7109375" style="21" bestFit="1" customWidth="1"/>
    <col min="4360" max="4608" width="8.85546875" style="21"/>
    <col min="4609" max="4614" width="14.7109375" style="21" bestFit="1" customWidth="1"/>
    <col min="4615" max="4615" width="4.7109375" style="21" bestFit="1" customWidth="1"/>
    <col min="4616" max="4864" width="8.85546875" style="21"/>
    <col min="4865" max="4870" width="14.7109375" style="21" bestFit="1" customWidth="1"/>
    <col min="4871" max="4871" width="4.7109375" style="21" bestFit="1" customWidth="1"/>
    <col min="4872" max="5120" width="8.85546875" style="21"/>
    <col min="5121" max="5126" width="14.7109375" style="21" bestFit="1" customWidth="1"/>
    <col min="5127" max="5127" width="4.7109375" style="21" bestFit="1" customWidth="1"/>
    <col min="5128" max="5376" width="8.85546875" style="21"/>
    <col min="5377" max="5382" width="14.7109375" style="21" bestFit="1" customWidth="1"/>
    <col min="5383" max="5383" width="4.7109375" style="21" bestFit="1" customWidth="1"/>
    <col min="5384" max="5632" width="8.85546875" style="21"/>
    <col min="5633" max="5638" width="14.7109375" style="21" bestFit="1" customWidth="1"/>
    <col min="5639" max="5639" width="4.7109375" style="21" bestFit="1" customWidth="1"/>
    <col min="5640" max="5888" width="8.85546875" style="21"/>
    <col min="5889" max="5894" width="14.7109375" style="21" bestFit="1" customWidth="1"/>
    <col min="5895" max="5895" width="4.7109375" style="21" bestFit="1" customWidth="1"/>
    <col min="5896" max="6144" width="8.85546875" style="21"/>
    <col min="6145" max="6150" width="14.7109375" style="21" bestFit="1" customWidth="1"/>
    <col min="6151" max="6151" width="4.7109375" style="21" bestFit="1" customWidth="1"/>
    <col min="6152" max="6400" width="8.85546875" style="21"/>
    <col min="6401" max="6406" width="14.7109375" style="21" bestFit="1" customWidth="1"/>
    <col min="6407" max="6407" width="4.7109375" style="21" bestFit="1" customWidth="1"/>
    <col min="6408" max="6656" width="8.85546875" style="21"/>
    <col min="6657" max="6662" width="14.7109375" style="21" bestFit="1" customWidth="1"/>
    <col min="6663" max="6663" width="4.7109375" style="21" bestFit="1" customWidth="1"/>
    <col min="6664" max="6912" width="8.85546875" style="21"/>
    <col min="6913" max="6918" width="14.7109375" style="21" bestFit="1" customWidth="1"/>
    <col min="6919" max="6919" width="4.7109375" style="21" bestFit="1" customWidth="1"/>
    <col min="6920" max="7168" width="8.85546875" style="21"/>
    <col min="7169" max="7174" width="14.7109375" style="21" bestFit="1" customWidth="1"/>
    <col min="7175" max="7175" width="4.7109375" style="21" bestFit="1" customWidth="1"/>
    <col min="7176" max="7424" width="8.85546875" style="21"/>
    <col min="7425" max="7430" width="14.7109375" style="21" bestFit="1" customWidth="1"/>
    <col min="7431" max="7431" width="4.7109375" style="21" bestFit="1" customWidth="1"/>
    <col min="7432" max="7680" width="8.85546875" style="21"/>
    <col min="7681" max="7686" width="14.7109375" style="21" bestFit="1" customWidth="1"/>
    <col min="7687" max="7687" width="4.7109375" style="21" bestFit="1" customWidth="1"/>
    <col min="7688" max="7936" width="8.85546875" style="21"/>
    <col min="7937" max="7942" width="14.7109375" style="21" bestFit="1" customWidth="1"/>
    <col min="7943" max="7943" width="4.7109375" style="21" bestFit="1" customWidth="1"/>
    <col min="7944" max="8192" width="8.85546875" style="21"/>
    <col min="8193" max="8198" width="14.7109375" style="21" bestFit="1" customWidth="1"/>
    <col min="8199" max="8199" width="4.7109375" style="21" bestFit="1" customWidth="1"/>
    <col min="8200" max="8448" width="8.85546875" style="21"/>
    <col min="8449" max="8454" width="14.7109375" style="21" bestFit="1" customWidth="1"/>
    <col min="8455" max="8455" width="4.7109375" style="21" bestFit="1" customWidth="1"/>
    <col min="8456" max="8704" width="8.85546875" style="21"/>
    <col min="8705" max="8710" width="14.7109375" style="21" bestFit="1" customWidth="1"/>
    <col min="8711" max="8711" width="4.7109375" style="21" bestFit="1" customWidth="1"/>
    <col min="8712" max="8960" width="8.85546875" style="21"/>
    <col min="8961" max="8966" width="14.7109375" style="21" bestFit="1" customWidth="1"/>
    <col min="8967" max="8967" width="4.7109375" style="21" bestFit="1" customWidth="1"/>
    <col min="8968" max="9216" width="8.85546875" style="21"/>
    <col min="9217" max="9222" width="14.7109375" style="21" bestFit="1" customWidth="1"/>
    <col min="9223" max="9223" width="4.7109375" style="21" bestFit="1" customWidth="1"/>
    <col min="9224" max="9472" width="8.85546875" style="21"/>
    <col min="9473" max="9478" width="14.7109375" style="21" bestFit="1" customWidth="1"/>
    <col min="9479" max="9479" width="4.7109375" style="21" bestFit="1" customWidth="1"/>
    <col min="9480" max="9728" width="8.85546875" style="21"/>
    <col min="9729" max="9734" width="14.7109375" style="21" bestFit="1" customWidth="1"/>
    <col min="9735" max="9735" width="4.7109375" style="21" bestFit="1" customWidth="1"/>
    <col min="9736" max="9984" width="8.85546875" style="21"/>
    <col min="9985" max="9990" width="14.7109375" style="21" bestFit="1" customWidth="1"/>
    <col min="9991" max="9991" width="4.7109375" style="21" bestFit="1" customWidth="1"/>
    <col min="9992" max="10240" width="8.85546875" style="21"/>
    <col min="10241" max="10246" width="14.7109375" style="21" bestFit="1" customWidth="1"/>
    <col min="10247" max="10247" width="4.7109375" style="21" bestFit="1" customWidth="1"/>
    <col min="10248" max="10496" width="8.85546875" style="21"/>
    <col min="10497" max="10502" width="14.7109375" style="21" bestFit="1" customWidth="1"/>
    <col min="10503" max="10503" width="4.7109375" style="21" bestFit="1" customWidth="1"/>
    <col min="10504" max="10752" width="8.85546875" style="21"/>
    <col min="10753" max="10758" width="14.7109375" style="21" bestFit="1" customWidth="1"/>
    <col min="10759" max="10759" width="4.7109375" style="21" bestFit="1" customWidth="1"/>
    <col min="10760" max="11008" width="8.85546875" style="21"/>
    <col min="11009" max="11014" width="14.7109375" style="21" bestFit="1" customWidth="1"/>
    <col min="11015" max="11015" width="4.7109375" style="21" bestFit="1" customWidth="1"/>
    <col min="11016" max="11264" width="8.85546875" style="21"/>
    <col min="11265" max="11270" width="14.7109375" style="21" bestFit="1" customWidth="1"/>
    <col min="11271" max="11271" width="4.7109375" style="21" bestFit="1" customWidth="1"/>
    <col min="11272" max="11520" width="8.85546875" style="21"/>
    <col min="11521" max="11526" width="14.7109375" style="21" bestFit="1" customWidth="1"/>
    <col min="11527" max="11527" width="4.7109375" style="21" bestFit="1" customWidth="1"/>
    <col min="11528" max="11776" width="8.85546875" style="21"/>
    <col min="11777" max="11782" width="14.7109375" style="21" bestFit="1" customWidth="1"/>
    <col min="11783" max="11783" width="4.7109375" style="21" bestFit="1" customWidth="1"/>
    <col min="11784" max="12032" width="8.85546875" style="21"/>
    <col min="12033" max="12038" width="14.7109375" style="21" bestFit="1" customWidth="1"/>
    <col min="12039" max="12039" width="4.7109375" style="21" bestFit="1" customWidth="1"/>
    <col min="12040" max="12288" width="8.85546875" style="21"/>
    <col min="12289" max="12294" width="14.7109375" style="21" bestFit="1" customWidth="1"/>
    <col min="12295" max="12295" width="4.7109375" style="21" bestFit="1" customWidth="1"/>
    <col min="12296" max="12544" width="8.85546875" style="21"/>
    <col min="12545" max="12550" width="14.7109375" style="21" bestFit="1" customWidth="1"/>
    <col min="12551" max="12551" width="4.7109375" style="21" bestFit="1" customWidth="1"/>
    <col min="12552" max="12800" width="8.85546875" style="21"/>
    <col min="12801" max="12806" width="14.7109375" style="21" bestFit="1" customWidth="1"/>
    <col min="12807" max="12807" width="4.7109375" style="21" bestFit="1" customWidth="1"/>
    <col min="12808" max="13056" width="8.85546875" style="21"/>
    <col min="13057" max="13062" width="14.7109375" style="21" bestFit="1" customWidth="1"/>
    <col min="13063" max="13063" width="4.7109375" style="21" bestFit="1" customWidth="1"/>
    <col min="13064" max="13312" width="8.85546875" style="21"/>
    <col min="13313" max="13318" width="14.7109375" style="21" bestFit="1" customWidth="1"/>
    <col min="13319" max="13319" width="4.7109375" style="21" bestFit="1" customWidth="1"/>
    <col min="13320" max="13568" width="8.85546875" style="21"/>
    <col min="13569" max="13574" width="14.7109375" style="21" bestFit="1" customWidth="1"/>
    <col min="13575" max="13575" width="4.7109375" style="21" bestFit="1" customWidth="1"/>
    <col min="13576" max="13824" width="8.85546875" style="21"/>
    <col min="13825" max="13830" width="14.7109375" style="21" bestFit="1" customWidth="1"/>
    <col min="13831" max="13831" width="4.7109375" style="21" bestFit="1" customWidth="1"/>
    <col min="13832" max="14080" width="8.85546875" style="21"/>
    <col min="14081" max="14086" width="14.7109375" style="21" bestFit="1" customWidth="1"/>
    <col min="14087" max="14087" width="4.7109375" style="21" bestFit="1" customWidth="1"/>
    <col min="14088" max="14336" width="8.85546875" style="21"/>
    <col min="14337" max="14342" width="14.7109375" style="21" bestFit="1" customWidth="1"/>
    <col min="14343" max="14343" width="4.7109375" style="21" bestFit="1" customWidth="1"/>
    <col min="14344" max="14592" width="8.85546875" style="21"/>
    <col min="14593" max="14598" width="14.7109375" style="21" bestFit="1" customWidth="1"/>
    <col min="14599" max="14599" width="4.7109375" style="21" bestFit="1" customWidth="1"/>
    <col min="14600" max="14848" width="8.85546875" style="21"/>
    <col min="14849" max="14854" width="14.7109375" style="21" bestFit="1" customWidth="1"/>
    <col min="14855" max="14855" width="4.7109375" style="21" bestFit="1" customWidth="1"/>
    <col min="14856" max="15104" width="8.85546875" style="21"/>
    <col min="15105" max="15110" width="14.7109375" style="21" bestFit="1" customWidth="1"/>
    <col min="15111" max="15111" width="4.7109375" style="21" bestFit="1" customWidth="1"/>
    <col min="15112" max="15360" width="8.85546875" style="21"/>
    <col min="15361" max="15366" width="14.7109375" style="21" bestFit="1" customWidth="1"/>
    <col min="15367" max="15367" width="4.7109375" style="21" bestFit="1" customWidth="1"/>
    <col min="15368" max="15616" width="8.85546875" style="21"/>
    <col min="15617" max="15622" width="14.7109375" style="21" bestFit="1" customWidth="1"/>
    <col min="15623" max="15623" width="4.7109375" style="21" bestFit="1" customWidth="1"/>
    <col min="15624" max="15872" width="8.85546875" style="21"/>
    <col min="15873" max="15878" width="14.7109375" style="21" bestFit="1" customWidth="1"/>
    <col min="15879" max="15879" width="4.7109375" style="21" bestFit="1" customWidth="1"/>
    <col min="15880" max="16128" width="8.85546875" style="21"/>
    <col min="16129" max="16134" width="14.7109375" style="21" bestFit="1" customWidth="1"/>
    <col min="16135" max="16135" width="4.7109375" style="21" bestFit="1" customWidth="1"/>
    <col min="16136" max="16384" width="8.85546875" style="21"/>
  </cols>
  <sheetData>
    <row r="1" spans="1:6" ht="15" customHeight="1">
      <c r="A1" s="1236" t="s">
        <v>5</v>
      </c>
      <c r="B1" s="1236"/>
      <c r="C1" s="1236"/>
      <c r="D1" s="1236"/>
      <c r="E1" s="1236"/>
      <c r="F1" s="1236"/>
    </row>
    <row r="2" spans="1:6" s="24" customFormat="1" ht="18" customHeight="1">
      <c r="A2" s="1286" t="s">
        <v>51</v>
      </c>
      <c r="B2" s="1288" t="s">
        <v>151</v>
      </c>
      <c r="C2" s="1289"/>
      <c r="D2" s="1289"/>
      <c r="E2" s="1289"/>
      <c r="F2" s="1290"/>
    </row>
    <row r="3" spans="1:6" s="24" customFormat="1" ht="18" customHeight="1">
      <c r="A3" s="1287"/>
      <c r="B3" s="132" t="s">
        <v>152</v>
      </c>
      <c r="C3" s="132" t="s">
        <v>153</v>
      </c>
      <c r="D3" s="132" t="s">
        <v>29</v>
      </c>
      <c r="E3" s="132" t="s">
        <v>154</v>
      </c>
      <c r="F3" s="132" t="s">
        <v>150</v>
      </c>
    </row>
    <row r="4" spans="1:6" s="22" customFormat="1" ht="18" customHeight="1">
      <c r="A4" s="97" t="s">
        <v>58</v>
      </c>
      <c r="B4" s="178">
        <v>27.638330646670354</v>
      </c>
      <c r="C4" s="178">
        <v>9.9766449832928519</v>
      </c>
      <c r="D4" s="178">
        <v>7.3355729394431721</v>
      </c>
      <c r="E4" s="178">
        <v>0.11697282202055018</v>
      </c>
      <c r="F4" s="178">
        <v>54.932478608573021</v>
      </c>
    </row>
    <row r="5" spans="1:6" s="22" customFormat="1" ht="18" customHeight="1">
      <c r="A5" s="224" t="s">
        <v>61</v>
      </c>
      <c r="B5" s="1149">
        <v>32.039089371015692</v>
      </c>
      <c r="C5" s="1149">
        <v>12.535249745999311</v>
      </c>
      <c r="D5" s="1149">
        <v>3.051932755780157</v>
      </c>
      <c r="E5" s="1149">
        <v>6.4293025548285504E-2</v>
      </c>
      <c r="F5" s="1149">
        <v>52.309435101656518</v>
      </c>
    </row>
    <row r="6" spans="1:6" s="24" customFormat="1" ht="18" customHeight="1">
      <c r="A6" s="226" t="s">
        <v>60</v>
      </c>
      <c r="B6" s="265">
        <v>38.65</v>
      </c>
      <c r="C6" s="265">
        <v>9.98</v>
      </c>
      <c r="D6" s="265">
        <v>2.74</v>
      </c>
      <c r="E6" s="265">
        <v>0.01</v>
      </c>
      <c r="F6" s="266">
        <v>48.61</v>
      </c>
    </row>
    <row r="7" spans="1:6" s="24" customFormat="1" ht="18" customHeight="1">
      <c r="A7" s="242" t="s">
        <v>59</v>
      </c>
      <c r="B7" s="265">
        <v>28.1</v>
      </c>
      <c r="C7" s="265">
        <v>22</v>
      </c>
      <c r="D7" s="265">
        <v>5.33</v>
      </c>
      <c r="E7" s="265">
        <v>0.02</v>
      </c>
      <c r="F7" s="265">
        <v>44.54</v>
      </c>
    </row>
    <row r="8" spans="1:6" s="24" customFormat="1" ht="18" customHeight="1">
      <c r="A8" s="242" t="s">
        <v>310</v>
      </c>
      <c r="B8" s="267">
        <v>27.04</v>
      </c>
      <c r="C8" s="267">
        <v>24</v>
      </c>
      <c r="D8" s="267">
        <v>2.89</v>
      </c>
      <c r="E8" s="267">
        <v>0.01</v>
      </c>
      <c r="F8" s="267">
        <v>46.06</v>
      </c>
    </row>
    <row r="9" spans="1:6" s="24" customFormat="1" ht="18" customHeight="1">
      <c r="A9" s="242" t="s">
        <v>356</v>
      </c>
      <c r="B9" s="265">
        <v>36.619999999999997</v>
      </c>
      <c r="C9" s="265">
        <v>3.13</v>
      </c>
      <c r="D9" s="265">
        <v>2.2599999999999998</v>
      </c>
      <c r="E9" s="265">
        <v>0.01</v>
      </c>
      <c r="F9" s="265">
        <v>57.98</v>
      </c>
    </row>
    <row r="10" spans="1:6" s="24" customFormat="1" ht="18" customHeight="1">
      <c r="A10" s="242" t="s">
        <v>384</v>
      </c>
      <c r="B10" s="265">
        <v>30.41</v>
      </c>
      <c r="C10" s="265">
        <v>8.9700000000000006</v>
      </c>
      <c r="D10" s="265">
        <v>1.91</v>
      </c>
      <c r="E10" s="265">
        <v>0.1</v>
      </c>
      <c r="F10" s="265">
        <v>58.61</v>
      </c>
    </row>
    <row r="11" spans="1:6" s="24" customFormat="1" ht="18" customHeight="1">
      <c r="A11" s="242" t="s">
        <v>397</v>
      </c>
      <c r="B11" s="265">
        <v>33.79</v>
      </c>
      <c r="C11" s="265">
        <v>7.81</v>
      </c>
      <c r="D11" s="265">
        <v>2.99</v>
      </c>
      <c r="E11" s="265">
        <v>0.05</v>
      </c>
      <c r="F11" s="265">
        <v>55.36</v>
      </c>
    </row>
    <row r="12" spans="1:6" s="24" customFormat="1" ht="18" customHeight="1">
      <c r="A12" s="242" t="s">
        <v>392</v>
      </c>
      <c r="B12" s="265">
        <v>33.32</v>
      </c>
      <c r="C12" s="265">
        <v>10.69</v>
      </c>
      <c r="D12" s="265">
        <v>2.5099999999999998</v>
      </c>
      <c r="E12" s="265">
        <v>0.14000000000000001</v>
      </c>
      <c r="F12" s="265">
        <v>53.34</v>
      </c>
    </row>
    <row r="13" spans="1:6" s="24" customFormat="1" ht="18" customHeight="1">
      <c r="A13" s="242" t="s">
        <v>396</v>
      </c>
      <c r="B13" s="265">
        <v>32.47</v>
      </c>
      <c r="C13" s="265">
        <v>10.6</v>
      </c>
      <c r="D13" s="265">
        <v>1.97</v>
      </c>
      <c r="E13" s="265">
        <v>0.41</v>
      </c>
      <c r="F13" s="266">
        <v>54.55</v>
      </c>
    </row>
    <row r="14" spans="1:6" s="24" customFormat="1" ht="18" customHeight="1">
      <c r="A14" s="242" t="s">
        <v>457</v>
      </c>
      <c r="B14" s="265">
        <v>33.0297773668768</v>
      </c>
      <c r="C14" s="265">
        <v>9.7856468854650593</v>
      </c>
      <c r="D14" s="265">
        <v>3.7357365652191898</v>
      </c>
      <c r="E14" s="265">
        <v>1.8201315735847799E-2</v>
      </c>
      <c r="F14" s="266">
        <v>53.430637866703002</v>
      </c>
    </row>
    <row r="15" spans="1:6" s="24" customFormat="1" ht="18" customHeight="1">
      <c r="A15" s="242" t="s">
        <v>1095</v>
      </c>
      <c r="B15" s="265">
        <v>35.538063812644403</v>
      </c>
      <c r="C15" s="265">
        <v>6.0156895844979603</v>
      </c>
      <c r="D15" s="265">
        <v>6.4837075895348502</v>
      </c>
      <c r="E15" s="265">
        <v>2.7971102121344901E-2</v>
      </c>
      <c r="F15" s="266">
        <v>51.934567911201398</v>
      </c>
    </row>
    <row r="16" spans="1:6" s="24" customFormat="1" ht="18" customHeight="1">
      <c r="A16" s="242" t="s">
        <v>1184</v>
      </c>
      <c r="B16" s="265">
        <v>29.358018867475778</v>
      </c>
      <c r="C16" s="265">
        <v>16.990394241577309</v>
      </c>
      <c r="D16" s="265">
        <v>1.2556300247083354</v>
      </c>
      <c r="E16" s="265">
        <v>1.5833460433781182E-2</v>
      </c>
      <c r="F16" s="266">
        <v>52.380123405804802</v>
      </c>
    </row>
    <row r="17" spans="1:5" s="24" customFormat="1" ht="15" customHeight="1">
      <c r="A17" s="28" t="s">
        <v>354</v>
      </c>
      <c r="B17" s="131"/>
      <c r="C17" s="131"/>
      <c r="D17" s="131"/>
      <c r="E17" s="131"/>
    </row>
    <row r="18" spans="1:5" s="24" customFormat="1" ht="13.5" customHeight="1">
      <c r="A18" s="1235" t="s">
        <v>1173</v>
      </c>
      <c r="B18" s="1235"/>
      <c r="C18" s="1235"/>
      <c r="D18" s="1235"/>
      <c r="E18" s="1235"/>
    </row>
    <row r="19" spans="1:5" s="24" customFormat="1">
      <c r="A19" s="1235" t="s">
        <v>155</v>
      </c>
      <c r="B19" s="1235"/>
      <c r="C19" s="1235"/>
      <c r="D19" s="1235"/>
      <c r="E19" s="1235"/>
    </row>
  </sheetData>
  <mergeCells count="5">
    <mergeCell ref="A1:F1"/>
    <mergeCell ref="A2:A3"/>
    <mergeCell ref="B2:F2"/>
    <mergeCell ref="A18:E18"/>
    <mergeCell ref="A19:E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9"/>
  <sheetViews>
    <sheetView workbookViewId="0">
      <selection activeCell="J20" sqref="J20"/>
    </sheetView>
  </sheetViews>
  <sheetFormatPr defaultColWidth="8.85546875" defaultRowHeight="15"/>
  <cols>
    <col min="1" max="1" width="14.7109375" style="21" bestFit="1" customWidth="1"/>
    <col min="2" max="2" width="19.42578125" style="21" bestFit="1" customWidth="1"/>
    <col min="3" max="6" width="14.7109375" style="21" bestFit="1" customWidth="1"/>
    <col min="7" max="7" width="4.7109375" style="21" bestFit="1" customWidth="1"/>
    <col min="8" max="256" width="8.85546875" style="21"/>
    <col min="257" max="262" width="14.7109375" style="21" bestFit="1" customWidth="1"/>
    <col min="263" max="263" width="4.7109375" style="21" bestFit="1" customWidth="1"/>
    <col min="264" max="512" width="8.85546875" style="21"/>
    <col min="513" max="518" width="14.7109375" style="21" bestFit="1" customWidth="1"/>
    <col min="519" max="519" width="4.7109375" style="21" bestFit="1" customWidth="1"/>
    <col min="520" max="768" width="8.85546875" style="21"/>
    <col min="769" max="774" width="14.7109375" style="21" bestFit="1" customWidth="1"/>
    <col min="775" max="775" width="4.7109375" style="21" bestFit="1" customWidth="1"/>
    <col min="776" max="1024" width="8.85546875" style="21"/>
    <col min="1025" max="1030" width="14.7109375" style="21" bestFit="1" customWidth="1"/>
    <col min="1031" max="1031" width="4.7109375" style="21" bestFit="1" customWidth="1"/>
    <col min="1032" max="1280" width="8.85546875" style="21"/>
    <col min="1281" max="1286" width="14.7109375" style="21" bestFit="1" customWidth="1"/>
    <col min="1287" max="1287" width="4.7109375" style="21" bestFit="1" customWidth="1"/>
    <col min="1288" max="1536" width="8.85546875" style="21"/>
    <col min="1537" max="1542" width="14.7109375" style="21" bestFit="1" customWidth="1"/>
    <col min="1543" max="1543" width="4.7109375" style="21" bestFit="1" customWidth="1"/>
    <col min="1544" max="1792" width="8.85546875" style="21"/>
    <col min="1793" max="1798" width="14.7109375" style="21" bestFit="1" customWidth="1"/>
    <col min="1799" max="1799" width="4.7109375" style="21" bestFit="1" customWidth="1"/>
    <col min="1800" max="2048" width="8.85546875" style="21"/>
    <col min="2049" max="2054" width="14.7109375" style="21" bestFit="1" customWidth="1"/>
    <col min="2055" max="2055" width="4.7109375" style="21" bestFit="1" customWidth="1"/>
    <col min="2056" max="2304" width="8.85546875" style="21"/>
    <col min="2305" max="2310" width="14.7109375" style="21" bestFit="1" customWidth="1"/>
    <col min="2311" max="2311" width="4.7109375" style="21" bestFit="1" customWidth="1"/>
    <col min="2312" max="2560" width="8.85546875" style="21"/>
    <col min="2561" max="2566" width="14.7109375" style="21" bestFit="1" customWidth="1"/>
    <col min="2567" max="2567" width="4.7109375" style="21" bestFit="1" customWidth="1"/>
    <col min="2568" max="2816" width="8.85546875" style="21"/>
    <col min="2817" max="2822" width="14.7109375" style="21" bestFit="1" customWidth="1"/>
    <col min="2823" max="2823" width="4.7109375" style="21" bestFit="1" customWidth="1"/>
    <col min="2824" max="3072" width="8.85546875" style="21"/>
    <col min="3073" max="3078" width="14.7109375" style="21" bestFit="1" customWidth="1"/>
    <col min="3079" max="3079" width="4.7109375" style="21" bestFit="1" customWidth="1"/>
    <col min="3080" max="3328" width="8.85546875" style="21"/>
    <col min="3329" max="3334" width="14.7109375" style="21" bestFit="1" customWidth="1"/>
    <col min="3335" max="3335" width="4.7109375" style="21" bestFit="1" customWidth="1"/>
    <col min="3336" max="3584" width="8.85546875" style="21"/>
    <col min="3585" max="3590" width="14.7109375" style="21" bestFit="1" customWidth="1"/>
    <col min="3591" max="3591" width="4.7109375" style="21" bestFit="1" customWidth="1"/>
    <col min="3592" max="3840" width="8.85546875" style="21"/>
    <col min="3841" max="3846" width="14.7109375" style="21" bestFit="1" customWidth="1"/>
    <col min="3847" max="3847" width="4.7109375" style="21" bestFit="1" customWidth="1"/>
    <col min="3848" max="4096" width="8.85546875" style="21"/>
    <col min="4097" max="4102" width="14.7109375" style="21" bestFit="1" customWidth="1"/>
    <col min="4103" max="4103" width="4.7109375" style="21" bestFit="1" customWidth="1"/>
    <col min="4104" max="4352" width="8.85546875" style="21"/>
    <col min="4353" max="4358" width="14.7109375" style="21" bestFit="1" customWidth="1"/>
    <col min="4359" max="4359" width="4.7109375" style="21" bestFit="1" customWidth="1"/>
    <col min="4360" max="4608" width="8.85546875" style="21"/>
    <col min="4609" max="4614" width="14.7109375" style="21" bestFit="1" customWidth="1"/>
    <col min="4615" max="4615" width="4.7109375" style="21" bestFit="1" customWidth="1"/>
    <col min="4616" max="4864" width="8.85546875" style="21"/>
    <col min="4865" max="4870" width="14.7109375" style="21" bestFit="1" customWidth="1"/>
    <col min="4871" max="4871" width="4.7109375" style="21" bestFit="1" customWidth="1"/>
    <col min="4872" max="5120" width="8.85546875" style="21"/>
    <col min="5121" max="5126" width="14.7109375" style="21" bestFit="1" customWidth="1"/>
    <col min="5127" max="5127" width="4.7109375" style="21" bestFit="1" customWidth="1"/>
    <col min="5128" max="5376" width="8.85546875" style="21"/>
    <col min="5377" max="5382" width="14.7109375" style="21" bestFit="1" customWidth="1"/>
    <col min="5383" max="5383" width="4.7109375" style="21" bestFit="1" customWidth="1"/>
    <col min="5384" max="5632" width="8.85546875" style="21"/>
    <col min="5633" max="5638" width="14.7109375" style="21" bestFit="1" customWidth="1"/>
    <col min="5639" max="5639" width="4.7109375" style="21" bestFit="1" customWidth="1"/>
    <col min="5640" max="5888" width="8.85546875" style="21"/>
    <col min="5889" max="5894" width="14.7109375" style="21" bestFit="1" customWidth="1"/>
    <col min="5895" max="5895" width="4.7109375" style="21" bestFit="1" customWidth="1"/>
    <col min="5896" max="6144" width="8.85546875" style="21"/>
    <col min="6145" max="6150" width="14.7109375" style="21" bestFit="1" customWidth="1"/>
    <col min="6151" max="6151" width="4.7109375" style="21" bestFit="1" customWidth="1"/>
    <col min="6152" max="6400" width="8.85546875" style="21"/>
    <col min="6401" max="6406" width="14.7109375" style="21" bestFit="1" customWidth="1"/>
    <col min="6407" max="6407" width="4.7109375" style="21" bestFit="1" customWidth="1"/>
    <col min="6408" max="6656" width="8.85546875" style="21"/>
    <col min="6657" max="6662" width="14.7109375" style="21" bestFit="1" customWidth="1"/>
    <col min="6663" max="6663" width="4.7109375" style="21" bestFit="1" customWidth="1"/>
    <col min="6664" max="6912" width="8.85546875" style="21"/>
    <col min="6913" max="6918" width="14.7109375" style="21" bestFit="1" customWidth="1"/>
    <col min="6919" max="6919" width="4.7109375" style="21" bestFit="1" customWidth="1"/>
    <col min="6920" max="7168" width="8.85546875" style="21"/>
    <col min="7169" max="7174" width="14.7109375" style="21" bestFit="1" customWidth="1"/>
    <col min="7175" max="7175" width="4.7109375" style="21" bestFit="1" customWidth="1"/>
    <col min="7176" max="7424" width="8.85546875" style="21"/>
    <col min="7425" max="7430" width="14.7109375" style="21" bestFit="1" customWidth="1"/>
    <col min="7431" max="7431" width="4.7109375" style="21" bestFit="1" customWidth="1"/>
    <col min="7432" max="7680" width="8.85546875" style="21"/>
    <col min="7681" max="7686" width="14.7109375" style="21" bestFit="1" customWidth="1"/>
    <col min="7687" max="7687" width="4.7109375" style="21" bestFit="1" customWidth="1"/>
    <col min="7688" max="7936" width="8.85546875" style="21"/>
    <col min="7937" max="7942" width="14.7109375" style="21" bestFit="1" customWidth="1"/>
    <col min="7943" max="7943" width="4.7109375" style="21" bestFit="1" customWidth="1"/>
    <col min="7944" max="8192" width="8.85546875" style="21"/>
    <col min="8193" max="8198" width="14.7109375" style="21" bestFit="1" customWidth="1"/>
    <col min="8199" max="8199" width="4.7109375" style="21" bestFit="1" customWidth="1"/>
    <col min="8200" max="8448" width="8.85546875" style="21"/>
    <col min="8449" max="8454" width="14.7109375" style="21" bestFit="1" customWidth="1"/>
    <col min="8455" max="8455" width="4.7109375" style="21" bestFit="1" customWidth="1"/>
    <col min="8456" max="8704" width="8.85546875" style="21"/>
    <col min="8705" max="8710" width="14.7109375" style="21" bestFit="1" customWidth="1"/>
    <col min="8711" max="8711" width="4.7109375" style="21" bestFit="1" customWidth="1"/>
    <col min="8712" max="8960" width="8.85546875" style="21"/>
    <col min="8961" max="8966" width="14.7109375" style="21" bestFit="1" customWidth="1"/>
    <col min="8967" max="8967" width="4.7109375" style="21" bestFit="1" customWidth="1"/>
    <col min="8968" max="9216" width="8.85546875" style="21"/>
    <col min="9217" max="9222" width="14.7109375" style="21" bestFit="1" customWidth="1"/>
    <col min="9223" max="9223" width="4.7109375" style="21" bestFit="1" customWidth="1"/>
    <col min="9224" max="9472" width="8.85546875" style="21"/>
    <col min="9473" max="9478" width="14.7109375" style="21" bestFit="1" customWidth="1"/>
    <col min="9479" max="9479" width="4.7109375" style="21" bestFit="1" customWidth="1"/>
    <col min="9480" max="9728" width="8.85546875" style="21"/>
    <col min="9729" max="9734" width="14.7109375" style="21" bestFit="1" customWidth="1"/>
    <col min="9735" max="9735" width="4.7109375" style="21" bestFit="1" customWidth="1"/>
    <col min="9736" max="9984" width="8.85546875" style="21"/>
    <col min="9985" max="9990" width="14.7109375" style="21" bestFit="1" customWidth="1"/>
    <col min="9991" max="9991" width="4.7109375" style="21" bestFit="1" customWidth="1"/>
    <col min="9992" max="10240" width="8.85546875" style="21"/>
    <col min="10241" max="10246" width="14.7109375" style="21" bestFit="1" customWidth="1"/>
    <col min="10247" max="10247" width="4.7109375" style="21" bestFit="1" customWidth="1"/>
    <col min="10248" max="10496" width="8.85546875" style="21"/>
    <col min="10497" max="10502" width="14.7109375" style="21" bestFit="1" customWidth="1"/>
    <col min="10503" max="10503" width="4.7109375" style="21" bestFit="1" customWidth="1"/>
    <col min="10504" max="10752" width="8.85546875" style="21"/>
    <col min="10753" max="10758" width="14.7109375" style="21" bestFit="1" customWidth="1"/>
    <col min="10759" max="10759" width="4.7109375" style="21" bestFit="1" customWidth="1"/>
    <col min="10760" max="11008" width="8.85546875" style="21"/>
    <col min="11009" max="11014" width="14.7109375" style="21" bestFit="1" customWidth="1"/>
    <col min="11015" max="11015" width="4.7109375" style="21" bestFit="1" customWidth="1"/>
    <col min="11016" max="11264" width="8.85546875" style="21"/>
    <col min="11265" max="11270" width="14.7109375" style="21" bestFit="1" customWidth="1"/>
    <col min="11271" max="11271" width="4.7109375" style="21" bestFit="1" customWidth="1"/>
    <col min="11272" max="11520" width="8.85546875" style="21"/>
    <col min="11521" max="11526" width="14.7109375" style="21" bestFit="1" customWidth="1"/>
    <col min="11527" max="11527" width="4.7109375" style="21" bestFit="1" customWidth="1"/>
    <col min="11528" max="11776" width="8.85546875" style="21"/>
    <col min="11777" max="11782" width="14.7109375" style="21" bestFit="1" customWidth="1"/>
    <col min="11783" max="11783" width="4.7109375" style="21" bestFit="1" customWidth="1"/>
    <col min="11784" max="12032" width="8.85546875" style="21"/>
    <col min="12033" max="12038" width="14.7109375" style="21" bestFit="1" customWidth="1"/>
    <col min="12039" max="12039" width="4.7109375" style="21" bestFit="1" customWidth="1"/>
    <col min="12040" max="12288" width="8.85546875" style="21"/>
    <col min="12289" max="12294" width="14.7109375" style="21" bestFit="1" customWidth="1"/>
    <col min="12295" max="12295" width="4.7109375" style="21" bestFit="1" customWidth="1"/>
    <col min="12296" max="12544" width="8.85546875" style="21"/>
    <col min="12545" max="12550" width="14.7109375" style="21" bestFit="1" customWidth="1"/>
    <col min="12551" max="12551" width="4.7109375" style="21" bestFit="1" customWidth="1"/>
    <col min="12552" max="12800" width="8.85546875" style="21"/>
    <col min="12801" max="12806" width="14.7109375" style="21" bestFit="1" customWidth="1"/>
    <col min="12807" max="12807" width="4.7109375" style="21" bestFit="1" customWidth="1"/>
    <col min="12808" max="13056" width="8.85546875" style="21"/>
    <col min="13057" max="13062" width="14.7109375" style="21" bestFit="1" customWidth="1"/>
    <col min="13063" max="13063" width="4.7109375" style="21" bestFit="1" customWidth="1"/>
    <col min="13064" max="13312" width="8.85546875" style="21"/>
    <col min="13313" max="13318" width="14.7109375" style="21" bestFit="1" customWidth="1"/>
    <col min="13319" max="13319" width="4.7109375" style="21" bestFit="1" customWidth="1"/>
    <col min="13320" max="13568" width="8.85546875" style="21"/>
    <col min="13569" max="13574" width="14.7109375" style="21" bestFit="1" customWidth="1"/>
    <col min="13575" max="13575" width="4.7109375" style="21" bestFit="1" customWidth="1"/>
    <col min="13576" max="13824" width="8.85546875" style="21"/>
    <col min="13825" max="13830" width="14.7109375" style="21" bestFit="1" customWidth="1"/>
    <col min="13831" max="13831" width="4.7109375" style="21" bestFit="1" customWidth="1"/>
    <col min="13832" max="14080" width="8.85546875" style="21"/>
    <col min="14081" max="14086" width="14.7109375" style="21" bestFit="1" customWidth="1"/>
    <col min="14087" max="14087" width="4.7109375" style="21" bestFit="1" customWidth="1"/>
    <col min="14088" max="14336" width="8.85546875" style="21"/>
    <col min="14337" max="14342" width="14.7109375" style="21" bestFit="1" customWidth="1"/>
    <col min="14343" max="14343" width="4.7109375" style="21" bestFit="1" customWidth="1"/>
    <col min="14344" max="14592" width="8.85546875" style="21"/>
    <col min="14593" max="14598" width="14.7109375" style="21" bestFit="1" customWidth="1"/>
    <col min="14599" max="14599" width="4.7109375" style="21" bestFit="1" customWidth="1"/>
    <col min="14600" max="14848" width="8.85546875" style="21"/>
    <col min="14849" max="14854" width="14.7109375" style="21" bestFit="1" customWidth="1"/>
    <col min="14855" max="14855" width="4.7109375" style="21" bestFit="1" customWidth="1"/>
    <col min="14856" max="15104" width="8.85546875" style="21"/>
    <col min="15105" max="15110" width="14.7109375" style="21" bestFit="1" customWidth="1"/>
    <col min="15111" max="15111" width="4.7109375" style="21" bestFit="1" customWidth="1"/>
    <col min="15112" max="15360" width="8.85546875" style="21"/>
    <col min="15361" max="15366" width="14.7109375" style="21" bestFit="1" customWidth="1"/>
    <col min="15367" max="15367" width="4.7109375" style="21" bestFit="1" customWidth="1"/>
    <col min="15368" max="15616" width="8.85546875" style="21"/>
    <col min="15617" max="15622" width="14.7109375" style="21" bestFit="1" customWidth="1"/>
    <col min="15623" max="15623" width="4.7109375" style="21" bestFit="1" customWidth="1"/>
    <col min="15624" max="15872" width="8.85546875" style="21"/>
    <col min="15873" max="15878" width="14.7109375" style="21" bestFit="1" customWidth="1"/>
    <col min="15879" max="15879" width="4.7109375" style="21" bestFit="1" customWidth="1"/>
    <col min="15880" max="16128" width="8.85546875" style="21"/>
    <col min="16129" max="16134" width="14.7109375" style="21" bestFit="1" customWidth="1"/>
    <col min="16135" max="16135" width="4.7109375" style="21" bestFit="1" customWidth="1"/>
    <col min="16136" max="16384" width="8.85546875" style="21"/>
  </cols>
  <sheetData>
    <row r="1" spans="1:12" ht="18" customHeight="1">
      <c r="A1" s="1236" t="s">
        <v>6</v>
      </c>
      <c r="B1" s="1236"/>
      <c r="C1" s="1236"/>
      <c r="D1" s="1236"/>
      <c r="E1" s="1236"/>
      <c r="F1" s="1236"/>
    </row>
    <row r="2" spans="1:12" s="24" customFormat="1" ht="18" customHeight="1">
      <c r="A2" s="1286" t="s">
        <v>156</v>
      </c>
      <c r="B2" s="1288" t="s">
        <v>151</v>
      </c>
      <c r="C2" s="1289"/>
      <c r="D2" s="1289"/>
      <c r="E2" s="1289"/>
      <c r="F2" s="1290"/>
    </row>
    <row r="3" spans="1:12" s="24" customFormat="1" ht="18" customHeight="1">
      <c r="A3" s="1287"/>
      <c r="B3" s="128" t="s">
        <v>152</v>
      </c>
      <c r="C3" s="128" t="s">
        <v>153</v>
      </c>
      <c r="D3" s="128" t="s">
        <v>29</v>
      </c>
      <c r="E3" s="128" t="s">
        <v>154</v>
      </c>
      <c r="F3" s="128" t="s">
        <v>150</v>
      </c>
    </row>
    <row r="4" spans="1:12" s="22" customFormat="1" ht="18" customHeight="1">
      <c r="A4" s="129" t="s">
        <v>58</v>
      </c>
      <c r="B4" s="130">
        <v>22.74</v>
      </c>
      <c r="C4" s="130">
        <v>15.18</v>
      </c>
      <c r="D4" s="130">
        <v>7.47</v>
      </c>
      <c r="E4" s="130">
        <v>0.17</v>
      </c>
      <c r="F4" s="130">
        <v>54.45</v>
      </c>
      <c r="H4" s="146"/>
      <c r="I4" s="62"/>
      <c r="J4" s="62"/>
      <c r="K4" s="62"/>
      <c r="L4" s="62"/>
    </row>
    <row r="5" spans="1:12" s="22" customFormat="1" ht="18" customHeight="1">
      <c r="A5" s="1164" t="s">
        <v>61</v>
      </c>
      <c r="B5" s="1165">
        <v>24.94</v>
      </c>
      <c r="C5" s="1165">
        <v>11.19</v>
      </c>
      <c r="D5" s="1165">
        <v>5.0199999999999996</v>
      </c>
      <c r="E5" s="1165">
        <v>0.1</v>
      </c>
      <c r="F5" s="1165">
        <v>58.75</v>
      </c>
    </row>
    <row r="6" spans="1:12" s="24" customFormat="1" ht="18" customHeight="1">
      <c r="A6" s="268" t="s">
        <v>60</v>
      </c>
      <c r="B6" s="265">
        <v>22.68</v>
      </c>
      <c r="C6" s="265">
        <v>13.45</v>
      </c>
      <c r="D6" s="265">
        <v>6.19</v>
      </c>
      <c r="E6" s="265">
        <v>0.06</v>
      </c>
      <c r="F6" s="265">
        <v>57.62</v>
      </c>
    </row>
    <row r="7" spans="1:12" s="24" customFormat="1" ht="18" customHeight="1">
      <c r="A7" s="242" t="s">
        <v>59</v>
      </c>
      <c r="B7" s="265">
        <v>21.62</v>
      </c>
      <c r="C7" s="265">
        <v>13.44</v>
      </c>
      <c r="D7" s="265">
        <v>6.17</v>
      </c>
      <c r="E7" s="265">
        <v>0.05</v>
      </c>
      <c r="F7" s="265">
        <v>58.72</v>
      </c>
    </row>
    <row r="8" spans="1:12" s="24" customFormat="1" ht="18" customHeight="1">
      <c r="A8" s="242" t="s">
        <v>310</v>
      </c>
      <c r="B8" s="265">
        <v>23.22</v>
      </c>
      <c r="C8" s="265">
        <v>9.32</v>
      </c>
      <c r="D8" s="265">
        <v>5</v>
      </c>
      <c r="E8" s="265">
        <v>0.17</v>
      </c>
      <c r="F8" s="265">
        <v>62.29</v>
      </c>
    </row>
    <row r="9" spans="1:12" s="24" customFormat="1" ht="18" customHeight="1">
      <c r="A9" s="242" t="s">
        <v>356</v>
      </c>
      <c r="B9" s="265">
        <v>21.67</v>
      </c>
      <c r="C9" s="265">
        <v>8.16</v>
      </c>
      <c r="D9" s="265">
        <v>4.6900000000000004</v>
      </c>
      <c r="E9" s="265">
        <v>0.08</v>
      </c>
      <c r="F9" s="265">
        <v>65.400000000000006</v>
      </c>
    </row>
    <row r="10" spans="1:12" s="24" customFormat="1" ht="18" customHeight="1">
      <c r="A10" s="242" t="s">
        <v>384</v>
      </c>
      <c r="B10" s="265">
        <v>23.12</v>
      </c>
      <c r="C10" s="265">
        <v>9.0500000000000007</v>
      </c>
      <c r="D10" s="265">
        <v>4.3099999999999996</v>
      </c>
      <c r="E10" s="265">
        <v>0.12</v>
      </c>
      <c r="F10" s="265">
        <v>63.39</v>
      </c>
    </row>
    <row r="11" spans="1:12" s="24" customFormat="1" ht="18" customHeight="1">
      <c r="A11" s="207">
        <v>44075</v>
      </c>
      <c r="B11" s="265">
        <v>26.6</v>
      </c>
      <c r="C11" s="265">
        <v>10.38</v>
      </c>
      <c r="D11" s="265">
        <v>4.84</v>
      </c>
      <c r="E11" s="265">
        <v>0.09</v>
      </c>
      <c r="F11" s="265">
        <v>58.1</v>
      </c>
    </row>
    <row r="12" spans="1:12" s="24" customFormat="1" ht="18" customHeight="1">
      <c r="A12" s="207" t="s">
        <v>392</v>
      </c>
      <c r="B12" s="265">
        <v>26.32</v>
      </c>
      <c r="C12" s="265">
        <v>11.29</v>
      </c>
      <c r="D12" s="265">
        <v>4.92</v>
      </c>
      <c r="E12" s="265">
        <v>7.0000000000000007E-2</v>
      </c>
      <c r="F12" s="265">
        <v>57.4</v>
      </c>
    </row>
    <row r="13" spans="1:12" s="24" customFormat="1" ht="18" customHeight="1">
      <c r="A13" s="207">
        <v>44136</v>
      </c>
      <c r="B13" s="265">
        <v>25.55</v>
      </c>
      <c r="C13" s="265">
        <v>16.489999999999998</v>
      </c>
      <c r="D13" s="265">
        <v>4.7699999999999996</v>
      </c>
      <c r="E13" s="265">
        <v>0.06</v>
      </c>
      <c r="F13" s="265">
        <v>53.14</v>
      </c>
    </row>
    <row r="14" spans="1:12" s="24" customFormat="1" ht="18" customHeight="1">
      <c r="A14" s="268" t="s">
        <v>457</v>
      </c>
      <c r="B14" s="265">
        <v>26.46</v>
      </c>
      <c r="C14" s="265">
        <v>10.95</v>
      </c>
      <c r="D14" s="265">
        <v>5.05</v>
      </c>
      <c r="E14" s="265">
        <v>0.09</v>
      </c>
      <c r="F14" s="265">
        <v>57.45</v>
      </c>
    </row>
    <row r="15" spans="1:12" s="24" customFormat="1" ht="18" customHeight="1">
      <c r="A15" s="268" t="s">
        <v>1095</v>
      </c>
      <c r="B15" s="265">
        <v>26.85</v>
      </c>
      <c r="C15" s="265">
        <v>10.88</v>
      </c>
      <c r="D15" s="265">
        <v>5.09</v>
      </c>
      <c r="E15" s="265">
        <v>0.13</v>
      </c>
      <c r="F15" s="265">
        <v>57.05</v>
      </c>
    </row>
    <row r="16" spans="1:12" s="24" customFormat="1" ht="18" customHeight="1">
      <c r="A16" s="268" t="s">
        <v>1184</v>
      </c>
      <c r="B16" s="265">
        <v>28.15</v>
      </c>
      <c r="C16" s="265">
        <v>10.97</v>
      </c>
      <c r="D16" s="265">
        <v>4.83</v>
      </c>
      <c r="E16" s="265">
        <v>0.11</v>
      </c>
      <c r="F16" s="265">
        <v>55.95</v>
      </c>
    </row>
    <row r="17" spans="1:6" s="24" customFormat="1" ht="15" customHeight="1">
      <c r="A17" s="28" t="s">
        <v>354</v>
      </c>
      <c r="B17" s="131"/>
      <c r="C17" s="131"/>
      <c r="D17" s="131"/>
      <c r="E17" s="131"/>
      <c r="F17" s="131"/>
    </row>
    <row r="18" spans="1:6" s="24" customFormat="1" ht="13.5" customHeight="1">
      <c r="A18" s="1235" t="s">
        <v>1173</v>
      </c>
      <c r="B18" s="1235"/>
      <c r="C18" s="1235"/>
      <c r="D18" s="1235"/>
      <c r="E18" s="1235"/>
      <c r="F18" s="1235"/>
    </row>
    <row r="19" spans="1:6" s="24" customFormat="1">
      <c r="A19" s="28" t="s">
        <v>157</v>
      </c>
      <c r="B19" s="28"/>
      <c r="C19" s="28"/>
      <c r="D19" s="28"/>
      <c r="E19" s="28"/>
      <c r="F19" s="28"/>
    </row>
  </sheetData>
  <mergeCells count="4">
    <mergeCell ref="A1:F1"/>
    <mergeCell ref="A2:A3"/>
    <mergeCell ref="B2:F2"/>
    <mergeCell ref="A18:F18"/>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9"/>
  <sheetViews>
    <sheetView workbookViewId="0">
      <selection activeCell="J10" sqref="J10"/>
    </sheetView>
  </sheetViews>
  <sheetFormatPr defaultColWidth="8.85546875" defaultRowHeight="15"/>
  <cols>
    <col min="1" max="6" width="14.7109375" style="21" bestFit="1" customWidth="1"/>
    <col min="7" max="7" width="4.7109375" style="21" bestFit="1" customWidth="1"/>
    <col min="8" max="256" width="8.85546875" style="21"/>
    <col min="257" max="262" width="14.7109375" style="21" bestFit="1" customWidth="1"/>
    <col min="263" max="263" width="4.7109375" style="21" bestFit="1" customWidth="1"/>
    <col min="264" max="512" width="8.85546875" style="21"/>
    <col min="513" max="518" width="14.7109375" style="21" bestFit="1" customWidth="1"/>
    <col min="519" max="519" width="4.7109375" style="21" bestFit="1" customWidth="1"/>
    <col min="520" max="768" width="8.85546875" style="21"/>
    <col min="769" max="774" width="14.7109375" style="21" bestFit="1" customWidth="1"/>
    <col min="775" max="775" width="4.7109375" style="21" bestFit="1" customWidth="1"/>
    <col min="776" max="1024" width="8.85546875" style="21"/>
    <col min="1025" max="1030" width="14.7109375" style="21" bestFit="1" customWidth="1"/>
    <col min="1031" max="1031" width="4.7109375" style="21" bestFit="1" customWidth="1"/>
    <col min="1032" max="1280" width="8.85546875" style="21"/>
    <col min="1281" max="1286" width="14.7109375" style="21" bestFit="1" customWidth="1"/>
    <col min="1287" max="1287" width="4.7109375" style="21" bestFit="1" customWidth="1"/>
    <col min="1288" max="1536" width="8.85546875" style="21"/>
    <col min="1537" max="1542" width="14.7109375" style="21" bestFit="1" customWidth="1"/>
    <col min="1543" max="1543" width="4.7109375" style="21" bestFit="1" customWidth="1"/>
    <col min="1544" max="1792" width="8.85546875" style="21"/>
    <col min="1793" max="1798" width="14.7109375" style="21" bestFit="1" customWidth="1"/>
    <col min="1799" max="1799" width="4.7109375" style="21" bestFit="1" customWidth="1"/>
    <col min="1800" max="2048" width="8.85546875" style="21"/>
    <col min="2049" max="2054" width="14.7109375" style="21" bestFit="1" customWidth="1"/>
    <col min="2055" max="2055" width="4.7109375" style="21" bestFit="1" customWidth="1"/>
    <col min="2056" max="2304" width="8.85546875" style="21"/>
    <col min="2305" max="2310" width="14.7109375" style="21" bestFit="1" customWidth="1"/>
    <col min="2311" max="2311" width="4.7109375" style="21" bestFit="1" customWidth="1"/>
    <col min="2312" max="2560" width="8.85546875" style="21"/>
    <col min="2561" max="2566" width="14.7109375" style="21" bestFit="1" customWidth="1"/>
    <col min="2567" max="2567" width="4.7109375" style="21" bestFit="1" customWidth="1"/>
    <col min="2568" max="2816" width="8.85546875" style="21"/>
    <col min="2817" max="2822" width="14.7109375" style="21" bestFit="1" customWidth="1"/>
    <col min="2823" max="2823" width="4.7109375" style="21" bestFit="1" customWidth="1"/>
    <col min="2824" max="3072" width="8.85546875" style="21"/>
    <col min="3073" max="3078" width="14.7109375" style="21" bestFit="1" customWidth="1"/>
    <col min="3079" max="3079" width="4.7109375" style="21" bestFit="1" customWidth="1"/>
    <col min="3080" max="3328" width="8.85546875" style="21"/>
    <col min="3329" max="3334" width="14.7109375" style="21" bestFit="1" customWidth="1"/>
    <col min="3335" max="3335" width="4.7109375" style="21" bestFit="1" customWidth="1"/>
    <col min="3336" max="3584" width="8.85546875" style="21"/>
    <col min="3585" max="3590" width="14.7109375" style="21" bestFit="1" customWidth="1"/>
    <col min="3591" max="3591" width="4.7109375" style="21" bestFit="1" customWidth="1"/>
    <col min="3592" max="3840" width="8.85546875" style="21"/>
    <col min="3841" max="3846" width="14.7109375" style="21" bestFit="1" customWidth="1"/>
    <col min="3847" max="3847" width="4.7109375" style="21" bestFit="1" customWidth="1"/>
    <col min="3848" max="4096" width="8.85546875" style="21"/>
    <col min="4097" max="4102" width="14.7109375" style="21" bestFit="1" customWidth="1"/>
    <col min="4103" max="4103" width="4.7109375" style="21" bestFit="1" customWidth="1"/>
    <col min="4104" max="4352" width="8.85546875" style="21"/>
    <col min="4353" max="4358" width="14.7109375" style="21" bestFit="1" customWidth="1"/>
    <col min="4359" max="4359" width="4.7109375" style="21" bestFit="1" customWidth="1"/>
    <col min="4360" max="4608" width="8.85546875" style="21"/>
    <col min="4609" max="4614" width="14.7109375" style="21" bestFit="1" customWidth="1"/>
    <col min="4615" max="4615" width="4.7109375" style="21" bestFit="1" customWidth="1"/>
    <col min="4616" max="4864" width="8.85546875" style="21"/>
    <col min="4865" max="4870" width="14.7109375" style="21" bestFit="1" customWidth="1"/>
    <col min="4871" max="4871" width="4.7109375" style="21" bestFit="1" customWidth="1"/>
    <col min="4872" max="5120" width="8.85546875" style="21"/>
    <col min="5121" max="5126" width="14.7109375" style="21" bestFit="1" customWidth="1"/>
    <col min="5127" max="5127" width="4.7109375" style="21" bestFit="1" customWidth="1"/>
    <col min="5128" max="5376" width="8.85546875" style="21"/>
    <col min="5377" max="5382" width="14.7109375" style="21" bestFit="1" customWidth="1"/>
    <col min="5383" max="5383" width="4.7109375" style="21" bestFit="1" customWidth="1"/>
    <col min="5384" max="5632" width="8.85546875" style="21"/>
    <col min="5633" max="5638" width="14.7109375" style="21" bestFit="1" customWidth="1"/>
    <col min="5639" max="5639" width="4.7109375" style="21" bestFit="1" customWidth="1"/>
    <col min="5640" max="5888" width="8.85546875" style="21"/>
    <col min="5889" max="5894" width="14.7109375" style="21" bestFit="1" customWidth="1"/>
    <col min="5895" max="5895" width="4.7109375" style="21" bestFit="1" customWidth="1"/>
    <col min="5896" max="6144" width="8.85546875" style="21"/>
    <col min="6145" max="6150" width="14.7109375" style="21" bestFit="1" customWidth="1"/>
    <col min="6151" max="6151" width="4.7109375" style="21" bestFit="1" customWidth="1"/>
    <col min="6152" max="6400" width="8.85546875" style="21"/>
    <col min="6401" max="6406" width="14.7109375" style="21" bestFit="1" customWidth="1"/>
    <col min="6407" max="6407" width="4.7109375" style="21" bestFit="1" customWidth="1"/>
    <col min="6408" max="6656" width="8.85546875" style="21"/>
    <col min="6657" max="6662" width="14.7109375" style="21" bestFit="1" customWidth="1"/>
    <col min="6663" max="6663" width="4.7109375" style="21" bestFit="1" customWidth="1"/>
    <col min="6664" max="6912" width="8.85546875" style="21"/>
    <col min="6913" max="6918" width="14.7109375" style="21" bestFit="1" customWidth="1"/>
    <col min="6919" max="6919" width="4.7109375" style="21" bestFit="1" customWidth="1"/>
    <col min="6920" max="7168" width="8.85546875" style="21"/>
    <col min="7169" max="7174" width="14.7109375" style="21" bestFit="1" customWidth="1"/>
    <col min="7175" max="7175" width="4.7109375" style="21" bestFit="1" customWidth="1"/>
    <col min="7176" max="7424" width="8.85546875" style="21"/>
    <col min="7425" max="7430" width="14.7109375" style="21" bestFit="1" customWidth="1"/>
    <col min="7431" max="7431" width="4.7109375" style="21" bestFit="1" customWidth="1"/>
    <col min="7432" max="7680" width="8.85546875" style="21"/>
    <col min="7681" max="7686" width="14.7109375" style="21" bestFit="1" customWidth="1"/>
    <col min="7687" max="7687" width="4.7109375" style="21" bestFit="1" customWidth="1"/>
    <col min="7688" max="7936" width="8.85546875" style="21"/>
    <col min="7937" max="7942" width="14.7109375" style="21" bestFit="1" customWidth="1"/>
    <col min="7943" max="7943" width="4.7109375" style="21" bestFit="1" customWidth="1"/>
    <col min="7944" max="8192" width="8.85546875" style="21"/>
    <col min="8193" max="8198" width="14.7109375" style="21" bestFit="1" customWidth="1"/>
    <col min="8199" max="8199" width="4.7109375" style="21" bestFit="1" customWidth="1"/>
    <col min="8200" max="8448" width="8.85546875" style="21"/>
    <col min="8449" max="8454" width="14.7109375" style="21" bestFit="1" customWidth="1"/>
    <col min="8455" max="8455" width="4.7109375" style="21" bestFit="1" customWidth="1"/>
    <col min="8456" max="8704" width="8.85546875" style="21"/>
    <col min="8705" max="8710" width="14.7109375" style="21" bestFit="1" customWidth="1"/>
    <col min="8711" max="8711" width="4.7109375" style="21" bestFit="1" customWidth="1"/>
    <col min="8712" max="8960" width="8.85546875" style="21"/>
    <col min="8961" max="8966" width="14.7109375" style="21" bestFit="1" customWidth="1"/>
    <col min="8967" max="8967" width="4.7109375" style="21" bestFit="1" customWidth="1"/>
    <col min="8968" max="9216" width="8.85546875" style="21"/>
    <col min="9217" max="9222" width="14.7109375" style="21" bestFit="1" customWidth="1"/>
    <col min="9223" max="9223" width="4.7109375" style="21" bestFit="1" customWidth="1"/>
    <col min="9224" max="9472" width="8.85546875" style="21"/>
    <col min="9473" max="9478" width="14.7109375" style="21" bestFit="1" customWidth="1"/>
    <col min="9479" max="9479" width="4.7109375" style="21" bestFit="1" customWidth="1"/>
    <col min="9480" max="9728" width="8.85546875" style="21"/>
    <col min="9729" max="9734" width="14.7109375" style="21" bestFit="1" customWidth="1"/>
    <col min="9735" max="9735" width="4.7109375" style="21" bestFit="1" customWidth="1"/>
    <col min="9736" max="9984" width="8.85546875" style="21"/>
    <col min="9985" max="9990" width="14.7109375" style="21" bestFit="1" customWidth="1"/>
    <col min="9991" max="9991" width="4.7109375" style="21" bestFit="1" customWidth="1"/>
    <col min="9992" max="10240" width="8.85546875" style="21"/>
    <col min="10241" max="10246" width="14.7109375" style="21" bestFit="1" customWidth="1"/>
    <col min="10247" max="10247" width="4.7109375" style="21" bestFit="1" customWidth="1"/>
    <col min="10248" max="10496" width="8.85546875" style="21"/>
    <col min="10497" max="10502" width="14.7109375" style="21" bestFit="1" customWidth="1"/>
    <col min="10503" max="10503" width="4.7109375" style="21" bestFit="1" customWidth="1"/>
    <col min="10504" max="10752" width="8.85546875" style="21"/>
    <col min="10753" max="10758" width="14.7109375" style="21" bestFit="1" customWidth="1"/>
    <col min="10759" max="10759" width="4.7109375" style="21" bestFit="1" customWidth="1"/>
    <col min="10760" max="11008" width="8.85546875" style="21"/>
    <col min="11009" max="11014" width="14.7109375" style="21" bestFit="1" customWidth="1"/>
    <col min="11015" max="11015" width="4.7109375" style="21" bestFit="1" customWidth="1"/>
    <col min="11016" max="11264" width="8.85546875" style="21"/>
    <col min="11265" max="11270" width="14.7109375" style="21" bestFit="1" customWidth="1"/>
    <col min="11271" max="11271" width="4.7109375" style="21" bestFit="1" customWidth="1"/>
    <col min="11272" max="11520" width="8.85546875" style="21"/>
    <col min="11521" max="11526" width="14.7109375" style="21" bestFit="1" customWidth="1"/>
    <col min="11527" max="11527" width="4.7109375" style="21" bestFit="1" customWidth="1"/>
    <col min="11528" max="11776" width="8.85546875" style="21"/>
    <col min="11777" max="11782" width="14.7109375" style="21" bestFit="1" customWidth="1"/>
    <col min="11783" max="11783" width="4.7109375" style="21" bestFit="1" customWidth="1"/>
    <col min="11784" max="12032" width="8.85546875" style="21"/>
    <col min="12033" max="12038" width="14.7109375" style="21" bestFit="1" customWidth="1"/>
    <col min="12039" max="12039" width="4.7109375" style="21" bestFit="1" customWidth="1"/>
    <col min="12040" max="12288" width="8.85546875" style="21"/>
    <col min="12289" max="12294" width="14.7109375" style="21" bestFit="1" customWidth="1"/>
    <col min="12295" max="12295" width="4.7109375" style="21" bestFit="1" customWidth="1"/>
    <col min="12296" max="12544" width="8.85546875" style="21"/>
    <col min="12545" max="12550" width="14.7109375" style="21" bestFit="1" customWidth="1"/>
    <col min="12551" max="12551" width="4.7109375" style="21" bestFit="1" customWidth="1"/>
    <col min="12552" max="12800" width="8.85546875" style="21"/>
    <col min="12801" max="12806" width="14.7109375" style="21" bestFit="1" customWidth="1"/>
    <col min="12807" max="12807" width="4.7109375" style="21" bestFit="1" customWidth="1"/>
    <col min="12808" max="13056" width="8.85546875" style="21"/>
    <col min="13057" max="13062" width="14.7109375" style="21" bestFit="1" customWidth="1"/>
    <col min="13063" max="13063" width="4.7109375" style="21" bestFit="1" customWidth="1"/>
    <col min="13064" max="13312" width="8.85546875" style="21"/>
    <col min="13313" max="13318" width="14.7109375" style="21" bestFit="1" customWidth="1"/>
    <col min="13319" max="13319" width="4.7109375" style="21" bestFit="1" customWidth="1"/>
    <col min="13320" max="13568" width="8.85546875" style="21"/>
    <col min="13569" max="13574" width="14.7109375" style="21" bestFit="1" customWidth="1"/>
    <col min="13575" max="13575" width="4.7109375" style="21" bestFit="1" customWidth="1"/>
    <col min="13576" max="13824" width="8.85546875" style="21"/>
    <col min="13825" max="13830" width="14.7109375" style="21" bestFit="1" customWidth="1"/>
    <col min="13831" max="13831" width="4.7109375" style="21" bestFit="1" customWidth="1"/>
    <col min="13832" max="14080" width="8.85546875" style="21"/>
    <col min="14081" max="14086" width="14.7109375" style="21" bestFit="1" customWidth="1"/>
    <col min="14087" max="14087" width="4.7109375" style="21" bestFit="1" customWidth="1"/>
    <col min="14088" max="14336" width="8.85546875" style="21"/>
    <col min="14337" max="14342" width="14.7109375" style="21" bestFit="1" customWidth="1"/>
    <col min="14343" max="14343" width="4.7109375" style="21" bestFit="1" customWidth="1"/>
    <col min="14344" max="14592" width="8.85546875" style="21"/>
    <col min="14593" max="14598" width="14.7109375" style="21" bestFit="1" customWidth="1"/>
    <col min="14599" max="14599" width="4.7109375" style="21" bestFit="1" customWidth="1"/>
    <col min="14600" max="14848" width="8.85546875" style="21"/>
    <col min="14849" max="14854" width="14.7109375" style="21" bestFit="1" customWidth="1"/>
    <col min="14855" max="14855" width="4.7109375" style="21" bestFit="1" customWidth="1"/>
    <col min="14856" max="15104" width="8.85546875" style="21"/>
    <col min="15105" max="15110" width="14.7109375" style="21" bestFit="1" customWidth="1"/>
    <col min="15111" max="15111" width="4.7109375" style="21" bestFit="1" customWidth="1"/>
    <col min="15112" max="15360" width="8.85546875" style="21"/>
    <col min="15361" max="15366" width="14.7109375" style="21" bestFit="1" customWidth="1"/>
    <col min="15367" max="15367" width="4.7109375" style="21" bestFit="1" customWidth="1"/>
    <col min="15368" max="15616" width="8.85546875" style="21"/>
    <col min="15617" max="15622" width="14.7109375" style="21" bestFit="1" customWidth="1"/>
    <col min="15623" max="15623" width="4.7109375" style="21" bestFit="1" customWidth="1"/>
    <col min="15624" max="15872" width="8.85546875" style="21"/>
    <col min="15873" max="15878" width="14.7109375" style="21" bestFit="1" customWidth="1"/>
    <col min="15879" max="15879" width="4.7109375" style="21" bestFit="1" customWidth="1"/>
    <col min="15880" max="16128" width="8.85546875" style="21"/>
    <col min="16129" max="16134" width="14.7109375" style="21" bestFit="1" customWidth="1"/>
    <col min="16135" max="16135" width="4.7109375" style="21" bestFit="1" customWidth="1"/>
    <col min="16136" max="16384" width="8.85546875" style="21"/>
  </cols>
  <sheetData>
    <row r="1" spans="1:6" ht="21" customHeight="1">
      <c r="A1" s="127" t="s">
        <v>7</v>
      </c>
      <c r="B1" s="127"/>
      <c r="C1" s="127"/>
      <c r="D1" s="127"/>
    </row>
    <row r="2" spans="1:6" s="24" customFormat="1" ht="18.75" customHeight="1">
      <c r="A2" s="1291" t="s">
        <v>51</v>
      </c>
      <c r="B2" s="1288" t="s">
        <v>151</v>
      </c>
      <c r="C2" s="1289"/>
      <c r="D2" s="1289"/>
      <c r="E2" s="1289"/>
      <c r="F2" s="1290"/>
    </row>
    <row r="3" spans="1:6" s="24" customFormat="1" ht="18" customHeight="1">
      <c r="A3" s="1292"/>
      <c r="B3" s="132" t="s">
        <v>152</v>
      </c>
      <c r="C3" s="132" t="s">
        <v>153</v>
      </c>
      <c r="D3" s="132" t="s">
        <v>29</v>
      </c>
      <c r="E3" s="132" t="s">
        <v>154</v>
      </c>
      <c r="F3" s="132" t="s">
        <v>150</v>
      </c>
    </row>
    <row r="4" spans="1:6" s="24" customFormat="1" ht="18" customHeight="1">
      <c r="A4" s="102" t="s">
        <v>58</v>
      </c>
      <c r="B4" s="177">
        <v>0</v>
      </c>
      <c r="C4" s="177">
        <v>0</v>
      </c>
      <c r="D4" s="177">
        <v>0</v>
      </c>
      <c r="E4" s="177">
        <v>0</v>
      </c>
      <c r="F4" s="177">
        <v>100</v>
      </c>
    </row>
    <row r="5" spans="1:6" s="24" customFormat="1" ht="18" customHeight="1">
      <c r="A5" s="269" t="s">
        <v>61</v>
      </c>
      <c r="B5" s="270">
        <v>0</v>
      </c>
      <c r="C5" s="270">
        <v>0</v>
      </c>
      <c r="D5" s="270">
        <v>0</v>
      </c>
      <c r="E5" s="270">
        <v>0</v>
      </c>
      <c r="F5" s="270">
        <v>100</v>
      </c>
    </row>
    <row r="6" spans="1:6" s="24" customFormat="1" ht="18" customHeight="1">
      <c r="A6" s="242" t="s">
        <v>60</v>
      </c>
      <c r="B6" s="271">
        <v>0</v>
      </c>
      <c r="C6" s="271">
        <v>0</v>
      </c>
      <c r="D6" s="271">
        <v>0</v>
      </c>
      <c r="E6" s="271">
        <v>0</v>
      </c>
      <c r="F6" s="271">
        <v>100</v>
      </c>
    </row>
    <row r="7" spans="1:6" s="24" customFormat="1" ht="18" customHeight="1">
      <c r="A7" s="242" t="s">
        <v>59</v>
      </c>
      <c r="B7" s="271">
        <v>0</v>
      </c>
      <c r="C7" s="271">
        <v>0</v>
      </c>
      <c r="D7" s="271">
        <v>0</v>
      </c>
      <c r="E7" s="271">
        <v>0</v>
      </c>
      <c r="F7" s="271">
        <v>0</v>
      </c>
    </row>
    <row r="8" spans="1:6" s="24" customFormat="1" ht="18" customHeight="1">
      <c r="A8" s="242" t="s">
        <v>310</v>
      </c>
      <c r="B8" s="271">
        <v>0</v>
      </c>
      <c r="C8" s="271">
        <v>0</v>
      </c>
      <c r="D8" s="271">
        <v>0</v>
      </c>
      <c r="E8" s="271">
        <v>0</v>
      </c>
      <c r="F8" s="271">
        <v>100</v>
      </c>
    </row>
    <row r="9" spans="1:6" s="24" customFormat="1" ht="18" customHeight="1">
      <c r="A9" s="242" t="s">
        <v>356</v>
      </c>
      <c r="B9" s="271">
        <v>0</v>
      </c>
      <c r="C9" s="271">
        <v>0</v>
      </c>
      <c r="D9" s="271">
        <v>0</v>
      </c>
      <c r="E9" s="271">
        <v>0</v>
      </c>
      <c r="F9" s="271">
        <v>100</v>
      </c>
    </row>
    <row r="10" spans="1:6" s="24" customFormat="1" ht="18" customHeight="1">
      <c r="A10" s="242" t="s">
        <v>384</v>
      </c>
      <c r="B10" s="271">
        <v>0</v>
      </c>
      <c r="C10" s="271">
        <v>0</v>
      </c>
      <c r="D10" s="271">
        <v>0</v>
      </c>
      <c r="E10" s="271">
        <v>0</v>
      </c>
      <c r="F10" s="271">
        <v>100</v>
      </c>
    </row>
    <row r="11" spans="1:6" s="24" customFormat="1" ht="18" customHeight="1">
      <c r="A11" s="207">
        <v>44075</v>
      </c>
      <c r="B11" s="271">
        <v>0</v>
      </c>
      <c r="C11" s="271">
        <v>0</v>
      </c>
      <c r="D11" s="271">
        <v>0</v>
      </c>
      <c r="E11" s="271">
        <v>0</v>
      </c>
      <c r="F11" s="271">
        <v>100</v>
      </c>
    </row>
    <row r="12" spans="1:6" s="24" customFormat="1" ht="18" customHeight="1">
      <c r="A12" s="207" t="s">
        <v>392</v>
      </c>
      <c r="B12" s="271">
        <v>0</v>
      </c>
      <c r="C12" s="271">
        <v>0</v>
      </c>
      <c r="D12" s="271">
        <v>0</v>
      </c>
      <c r="E12" s="271">
        <v>0</v>
      </c>
      <c r="F12" s="271">
        <v>100</v>
      </c>
    </row>
    <row r="13" spans="1:6" s="24" customFormat="1" ht="18" customHeight="1">
      <c r="A13" s="207">
        <v>44136</v>
      </c>
      <c r="B13" s="271">
        <v>0</v>
      </c>
      <c r="C13" s="271">
        <v>0</v>
      </c>
      <c r="D13" s="271">
        <v>0</v>
      </c>
      <c r="E13" s="271">
        <v>0</v>
      </c>
      <c r="F13" s="271">
        <v>100</v>
      </c>
    </row>
    <row r="14" spans="1:6" s="24" customFormat="1" ht="18" customHeight="1">
      <c r="A14" s="207">
        <v>44167</v>
      </c>
      <c r="B14" s="271">
        <v>0</v>
      </c>
      <c r="C14" s="271">
        <v>0</v>
      </c>
      <c r="D14" s="271">
        <v>0</v>
      </c>
      <c r="E14" s="271">
        <v>0</v>
      </c>
      <c r="F14" s="271">
        <v>100</v>
      </c>
    </row>
    <row r="15" spans="1:6" s="24" customFormat="1" ht="18" customHeight="1">
      <c r="A15" s="207">
        <v>44198</v>
      </c>
      <c r="B15" s="271">
        <v>0</v>
      </c>
      <c r="C15" s="271">
        <v>0</v>
      </c>
      <c r="D15" s="271">
        <v>0</v>
      </c>
      <c r="E15" s="271">
        <v>0</v>
      </c>
      <c r="F15" s="271">
        <v>100</v>
      </c>
    </row>
    <row r="16" spans="1:6" s="24" customFormat="1" ht="18" customHeight="1">
      <c r="A16" s="207">
        <v>44229</v>
      </c>
      <c r="B16" s="271">
        <v>0</v>
      </c>
      <c r="C16" s="271">
        <v>0</v>
      </c>
      <c r="D16" s="271">
        <v>0</v>
      </c>
      <c r="E16" s="271">
        <v>0</v>
      </c>
      <c r="F16" s="271">
        <v>100</v>
      </c>
    </row>
    <row r="17" spans="1:6" s="24" customFormat="1" ht="18" customHeight="1">
      <c r="A17" s="28" t="s">
        <v>354</v>
      </c>
      <c r="B17" s="31"/>
      <c r="C17" s="31"/>
      <c r="D17" s="31"/>
      <c r="E17" s="31"/>
      <c r="F17" s="31"/>
    </row>
    <row r="18" spans="1:6" s="24" customFormat="1" ht="18" customHeight="1">
      <c r="A18" s="1293" t="s">
        <v>1173</v>
      </c>
      <c r="B18" s="1294"/>
      <c r="C18" s="1294"/>
      <c r="D18" s="1294"/>
      <c r="E18" s="1294"/>
      <c r="F18" s="1295"/>
    </row>
    <row r="19" spans="1:6" s="24" customFormat="1" ht="28.35" customHeight="1">
      <c r="A19" s="1293" t="s">
        <v>158</v>
      </c>
      <c r="B19" s="1294"/>
      <c r="C19" s="1294"/>
      <c r="D19" s="1294"/>
      <c r="E19" s="1294"/>
      <c r="F19" s="1295"/>
    </row>
  </sheetData>
  <mergeCells count="4">
    <mergeCell ref="A2:A3"/>
    <mergeCell ref="B2:F2"/>
    <mergeCell ref="A18:F18"/>
    <mergeCell ref="A19:F19"/>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topLeftCell="A7" zoomScaleNormal="100" workbookViewId="0">
      <selection activeCell="D24" sqref="D24"/>
    </sheetView>
  </sheetViews>
  <sheetFormatPr defaultColWidth="8.85546875" defaultRowHeight="15"/>
  <cols>
    <col min="1" max="1" width="6" style="21" bestFit="1" customWidth="1"/>
    <col min="2" max="2" width="46.28515625" style="21" bestFit="1" customWidth="1"/>
    <col min="3" max="10" width="11.140625" style="21" customWidth="1"/>
    <col min="11" max="11" width="35.140625" style="21" bestFit="1" customWidth="1"/>
    <col min="12" max="12" width="4.7109375" style="21" bestFit="1" customWidth="1"/>
    <col min="13" max="256" width="8.85546875" style="21"/>
    <col min="257" max="257" width="6.42578125" style="21" bestFit="1" customWidth="1"/>
    <col min="258" max="258" width="20.7109375" style="21" bestFit="1" customWidth="1"/>
    <col min="259" max="259" width="10" style="21" bestFit="1" customWidth="1"/>
    <col min="260" max="260" width="13.85546875" style="21" bestFit="1" customWidth="1"/>
    <col min="261" max="261" width="7.7109375" style="21" bestFit="1" customWidth="1"/>
    <col min="262" max="263" width="6" style="21" bestFit="1" customWidth="1"/>
    <col min="264" max="264" width="9.7109375" style="21" bestFit="1" customWidth="1"/>
    <col min="265" max="265" width="10.7109375" style="21" bestFit="1" customWidth="1"/>
    <col min="266" max="266" width="10" style="21" bestFit="1" customWidth="1"/>
    <col min="267" max="267" width="35.140625" style="21" bestFit="1" customWidth="1"/>
    <col min="268" max="268" width="4.7109375" style="21" bestFit="1" customWidth="1"/>
    <col min="269" max="512" width="8.85546875" style="21"/>
    <col min="513" max="513" width="6.42578125" style="21" bestFit="1" customWidth="1"/>
    <col min="514" max="514" width="20.7109375" style="21" bestFit="1" customWidth="1"/>
    <col min="515" max="515" width="10" style="21" bestFit="1" customWidth="1"/>
    <col min="516" max="516" width="13.85546875" style="21" bestFit="1" customWidth="1"/>
    <col min="517" max="517" width="7.7109375" style="21" bestFit="1" customWidth="1"/>
    <col min="518" max="519" width="6" style="21" bestFit="1" customWidth="1"/>
    <col min="520" max="520" width="9.7109375" style="21" bestFit="1" customWidth="1"/>
    <col min="521" max="521" width="10.7109375" style="21" bestFit="1" customWidth="1"/>
    <col min="522" max="522" width="10" style="21" bestFit="1" customWidth="1"/>
    <col min="523" max="523" width="35.140625" style="21" bestFit="1" customWidth="1"/>
    <col min="524" max="524" width="4.7109375" style="21" bestFit="1" customWidth="1"/>
    <col min="525" max="768" width="8.85546875" style="21"/>
    <col min="769" max="769" width="6.42578125" style="21" bestFit="1" customWidth="1"/>
    <col min="770" max="770" width="20.7109375" style="21" bestFit="1" customWidth="1"/>
    <col min="771" max="771" width="10" style="21" bestFit="1" customWidth="1"/>
    <col min="772" max="772" width="13.85546875" style="21" bestFit="1" customWidth="1"/>
    <col min="773" max="773" width="7.7109375" style="21" bestFit="1" customWidth="1"/>
    <col min="774" max="775" width="6" style="21" bestFit="1" customWidth="1"/>
    <col min="776" max="776" width="9.7109375" style="21" bestFit="1" customWidth="1"/>
    <col min="777" max="777" width="10.7109375" style="21" bestFit="1" customWidth="1"/>
    <col min="778" max="778" width="10" style="21" bestFit="1" customWidth="1"/>
    <col min="779" max="779" width="35.140625" style="21" bestFit="1" customWidth="1"/>
    <col min="780" max="780" width="4.7109375" style="21" bestFit="1" customWidth="1"/>
    <col min="781" max="1024" width="8.85546875" style="21"/>
    <col min="1025" max="1025" width="6.42578125" style="21" bestFit="1" customWidth="1"/>
    <col min="1026" max="1026" width="20.7109375" style="21" bestFit="1" customWidth="1"/>
    <col min="1027" max="1027" width="10" style="21" bestFit="1" customWidth="1"/>
    <col min="1028" max="1028" width="13.85546875" style="21" bestFit="1" customWidth="1"/>
    <col min="1029" max="1029" width="7.7109375" style="21" bestFit="1" customWidth="1"/>
    <col min="1030" max="1031" width="6" style="21" bestFit="1" customWidth="1"/>
    <col min="1032" max="1032" width="9.7109375" style="21" bestFit="1" customWidth="1"/>
    <col min="1033" max="1033" width="10.7109375" style="21" bestFit="1" customWidth="1"/>
    <col min="1034" max="1034" width="10" style="21" bestFit="1" customWidth="1"/>
    <col min="1035" max="1035" width="35.140625" style="21" bestFit="1" customWidth="1"/>
    <col min="1036" max="1036" width="4.7109375" style="21" bestFit="1" customWidth="1"/>
    <col min="1037" max="1280" width="8.85546875" style="21"/>
    <col min="1281" max="1281" width="6.42578125" style="21" bestFit="1" customWidth="1"/>
    <col min="1282" max="1282" width="20.7109375" style="21" bestFit="1" customWidth="1"/>
    <col min="1283" max="1283" width="10" style="21" bestFit="1" customWidth="1"/>
    <col min="1284" max="1284" width="13.85546875" style="21" bestFit="1" customWidth="1"/>
    <col min="1285" max="1285" width="7.7109375" style="21" bestFit="1" customWidth="1"/>
    <col min="1286" max="1287" width="6" style="21" bestFit="1" customWidth="1"/>
    <col min="1288" max="1288" width="9.7109375" style="21" bestFit="1" customWidth="1"/>
    <col min="1289" max="1289" width="10.7109375" style="21" bestFit="1" customWidth="1"/>
    <col min="1290" max="1290" width="10" style="21" bestFit="1" customWidth="1"/>
    <col min="1291" max="1291" width="35.140625" style="21" bestFit="1" customWidth="1"/>
    <col min="1292" max="1292" width="4.7109375" style="21" bestFit="1" customWidth="1"/>
    <col min="1293" max="1536" width="8.85546875" style="21"/>
    <col min="1537" max="1537" width="6.42578125" style="21" bestFit="1" customWidth="1"/>
    <col min="1538" max="1538" width="20.7109375" style="21" bestFit="1" customWidth="1"/>
    <col min="1539" max="1539" width="10" style="21" bestFit="1" customWidth="1"/>
    <col min="1540" max="1540" width="13.85546875" style="21" bestFit="1" customWidth="1"/>
    <col min="1541" max="1541" width="7.7109375" style="21" bestFit="1" customWidth="1"/>
    <col min="1542" max="1543" width="6" style="21" bestFit="1" customWidth="1"/>
    <col min="1544" max="1544" width="9.7109375" style="21" bestFit="1" customWidth="1"/>
    <col min="1545" max="1545" width="10.7109375" style="21" bestFit="1" customWidth="1"/>
    <col min="1546" max="1546" width="10" style="21" bestFit="1" customWidth="1"/>
    <col min="1547" max="1547" width="35.140625" style="21" bestFit="1" customWidth="1"/>
    <col min="1548" max="1548" width="4.7109375" style="21" bestFit="1" customWidth="1"/>
    <col min="1549" max="1792" width="8.85546875" style="21"/>
    <col min="1793" max="1793" width="6.42578125" style="21" bestFit="1" customWidth="1"/>
    <col min="1794" max="1794" width="20.7109375" style="21" bestFit="1" customWidth="1"/>
    <col min="1795" max="1795" width="10" style="21" bestFit="1" customWidth="1"/>
    <col min="1796" max="1796" width="13.85546875" style="21" bestFit="1" customWidth="1"/>
    <col min="1797" max="1797" width="7.7109375" style="21" bestFit="1" customWidth="1"/>
    <col min="1798" max="1799" width="6" style="21" bestFit="1" customWidth="1"/>
    <col min="1800" max="1800" width="9.7109375" style="21" bestFit="1" customWidth="1"/>
    <col min="1801" max="1801" width="10.7109375" style="21" bestFit="1" customWidth="1"/>
    <col min="1802" max="1802" width="10" style="21" bestFit="1" customWidth="1"/>
    <col min="1803" max="1803" width="35.140625" style="21" bestFit="1" customWidth="1"/>
    <col min="1804" max="1804" width="4.7109375" style="21" bestFit="1" customWidth="1"/>
    <col min="1805" max="2048" width="8.85546875" style="21"/>
    <col min="2049" max="2049" width="6.42578125" style="21" bestFit="1" customWidth="1"/>
    <col min="2050" max="2050" width="20.7109375" style="21" bestFit="1" customWidth="1"/>
    <col min="2051" max="2051" width="10" style="21" bestFit="1" customWidth="1"/>
    <col min="2052" max="2052" width="13.85546875" style="21" bestFit="1" customWidth="1"/>
    <col min="2053" max="2053" width="7.7109375" style="21" bestFit="1" customWidth="1"/>
    <col min="2054" max="2055" width="6" style="21" bestFit="1" customWidth="1"/>
    <col min="2056" max="2056" width="9.7109375" style="21" bestFit="1" customWidth="1"/>
    <col min="2057" max="2057" width="10.7109375" style="21" bestFit="1" customWidth="1"/>
    <col min="2058" max="2058" width="10" style="21" bestFit="1" customWidth="1"/>
    <col min="2059" max="2059" width="35.140625" style="21" bestFit="1" customWidth="1"/>
    <col min="2060" max="2060" width="4.7109375" style="21" bestFit="1" customWidth="1"/>
    <col min="2061" max="2304" width="8.85546875" style="21"/>
    <col min="2305" max="2305" width="6.42578125" style="21" bestFit="1" customWidth="1"/>
    <col min="2306" max="2306" width="20.7109375" style="21" bestFit="1" customWidth="1"/>
    <col min="2307" max="2307" width="10" style="21" bestFit="1" customWidth="1"/>
    <col min="2308" max="2308" width="13.85546875" style="21" bestFit="1" customWidth="1"/>
    <col min="2309" max="2309" width="7.7109375" style="21" bestFit="1" customWidth="1"/>
    <col min="2310" max="2311" width="6" style="21" bestFit="1" customWidth="1"/>
    <col min="2312" max="2312" width="9.7109375" style="21" bestFit="1" customWidth="1"/>
    <col min="2313" max="2313" width="10.7109375" style="21" bestFit="1" customWidth="1"/>
    <col min="2314" max="2314" width="10" style="21" bestFit="1" customWidth="1"/>
    <col min="2315" max="2315" width="35.140625" style="21" bestFit="1" customWidth="1"/>
    <col min="2316" max="2316" width="4.7109375" style="21" bestFit="1" customWidth="1"/>
    <col min="2317" max="2560" width="8.85546875" style="21"/>
    <col min="2561" max="2561" width="6.42578125" style="21" bestFit="1" customWidth="1"/>
    <col min="2562" max="2562" width="20.7109375" style="21" bestFit="1" customWidth="1"/>
    <col min="2563" max="2563" width="10" style="21" bestFit="1" customWidth="1"/>
    <col min="2564" max="2564" width="13.85546875" style="21" bestFit="1" customWidth="1"/>
    <col min="2565" max="2565" width="7.7109375" style="21" bestFit="1" customWidth="1"/>
    <col min="2566" max="2567" width="6" style="21" bestFit="1" customWidth="1"/>
    <col min="2568" max="2568" width="9.7109375" style="21" bestFit="1" customWidth="1"/>
    <col min="2569" max="2569" width="10.7109375" style="21" bestFit="1" customWidth="1"/>
    <col min="2570" max="2570" width="10" style="21" bestFit="1" customWidth="1"/>
    <col min="2571" max="2571" width="35.140625" style="21" bestFit="1" customWidth="1"/>
    <col min="2572" max="2572" width="4.7109375" style="21" bestFit="1" customWidth="1"/>
    <col min="2573" max="2816" width="8.85546875" style="21"/>
    <col min="2817" max="2817" width="6.42578125" style="21" bestFit="1" customWidth="1"/>
    <col min="2818" max="2818" width="20.7109375" style="21" bestFit="1" customWidth="1"/>
    <col min="2819" max="2819" width="10" style="21" bestFit="1" customWidth="1"/>
    <col min="2820" max="2820" width="13.85546875" style="21" bestFit="1" customWidth="1"/>
    <col min="2821" max="2821" width="7.7109375" style="21" bestFit="1" customWidth="1"/>
    <col min="2822" max="2823" width="6" style="21" bestFit="1" customWidth="1"/>
    <col min="2824" max="2824" width="9.7109375" style="21" bestFit="1" customWidth="1"/>
    <col min="2825" max="2825" width="10.7109375" style="21" bestFit="1" customWidth="1"/>
    <col min="2826" max="2826" width="10" style="21" bestFit="1" customWidth="1"/>
    <col min="2827" max="2827" width="35.140625" style="21" bestFit="1" customWidth="1"/>
    <col min="2828" max="2828" width="4.7109375" style="21" bestFit="1" customWidth="1"/>
    <col min="2829" max="3072" width="8.85546875" style="21"/>
    <col min="3073" max="3073" width="6.42578125" style="21" bestFit="1" customWidth="1"/>
    <col min="3074" max="3074" width="20.7109375" style="21" bestFit="1" customWidth="1"/>
    <col min="3075" max="3075" width="10" style="21" bestFit="1" customWidth="1"/>
    <col min="3076" max="3076" width="13.85546875" style="21" bestFit="1" customWidth="1"/>
    <col min="3077" max="3077" width="7.7109375" style="21" bestFit="1" customWidth="1"/>
    <col min="3078" max="3079" width="6" style="21" bestFit="1" customWidth="1"/>
    <col min="3080" max="3080" width="9.7109375" style="21" bestFit="1" customWidth="1"/>
    <col min="3081" max="3081" width="10.7109375" style="21" bestFit="1" customWidth="1"/>
    <col min="3082" max="3082" width="10" style="21" bestFit="1" customWidth="1"/>
    <col min="3083" max="3083" width="35.140625" style="21" bestFit="1" customWidth="1"/>
    <col min="3084" max="3084" width="4.7109375" style="21" bestFit="1" customWidth="1"/>
    <col min="3085" max="3328" width="8.85546875" style="21"/>
    <col min="3329" max="3329" width="6.42578125" style="21" bestFit="1" customWidth="1"/>
    <col min="3330" max="3330" width="20.7109375" style="21" bestFit="1" customWidth="1"/>
    <col min="3331" max="3331" width="10" style="21" bestFit="1" customWidth="1"/>
    <col min="3332" max="3332" width="13.85546875" style="21" bestFit="1" customWidth="1"/>
    <col min="3333" max="3333" width="7.7109375" style="21" bestFit="1" customWidth="1"/>
    <col min="3334" max="3335" width="6" style="21" bestFit="1" customWidth="1"/>
    <col min="3336" max="3336" width="9.7109375" style="21" bestFit="1" customWidth="1"/>
    <col min="3337" max="3337" width="10.7109375" style="21" bestFit="1" customWidth="1"/>
    <col min="3338" max="3338" width="10" style="21" bestFit="1" customWidth="1"/>
    <col min="3339" max="3339" width="35.140625" style="21" bestFit="1" customWidth="1"/>
    <col min="3340" max="3340" width="4.7109375" style="21" bestFit="1" customWidth="1"/>
    <col min="3341" max="3584" width="8.85546875" style="21"/>
    <col min="3585" max="3585" width="6.42578125" style="21" bestFit="1" customWidth="1"/>
    <col min="3586" max="3586" width="20.7109375" style="21" bestFit="1" customWidth="1"/>
    <col min="3587" max="3587" width="10" style="21" bestFit="1" customWidth="1"/>
    <col min="3588" max="3588" width="13.85546875" style="21" bestFit="1" customWidth="1"/>
    <col min="3589" max="3589" width="7.7109375" style="21" bestFit="1" customWidth="1"/>
    <col min="3590" max="3591" width="6" style="21" bestFit="1" customWidth="1"/>
    <col min="3592" max="3592" width="9.7109375" style="21" bestFit="1" customWidth="1"/>
    <col min="3593" max="3593" width="10.7109375" style="21" bestFit="1" customWidth="1"/>
    <col min="3594" max="3594" width="10" style="21" bestFit="1" customWidth="1"/>
    <col min="3595" max="3595" width="35.140625" style="21" bestFit="1" customWidth="1"/>
    <col min="3596" max="3596" width="4.7109375" style="21" bestFit="1" customWidth="1"/>
    <col min="3597" max="3840" width="8.85546875" style="21"/>
    <col min="3841" max="3841" width="6.42578125" style="21" bestFit="1" customWidth="1"/>
    <col min="3842" max="3842" width="20.7109375" style="21" bestFit="1" customWidth="1"/>
    <col min="3843" max="3843" width="10" style="21" bestFit="1" customWidth="1"/>
    <col min="3844" max="3844" width="13.85546875" style="21" bestFit="1" customWidth="1"/>
    <col min="3845" max="3845" width="7.7109375" style="21" bestFit="1" customWidth="1"/>
    <col min="3846" max="3847" width="6" style="21" bestFit="1" customWidth="1"/>
    <col min="3848" max="3848" width="9.7109375" style="21" bestFit="1" customWidth="1"/>
    <col min="3849" max="3849" width="10.7109375" style="21" bestFit="1" customWidth="1"/>
    <col min="3850" max="3850" width="10" style="21" bestFit="1" customWidth="1"/>
    <col min="3851" max="3851" width="35.140625" style="21" bestFit="1" customWidth="1"/>
    <col min="3852" max="3852" width="4.7109375" style="21" bestFit="1" customWidth="1"/>
    <col min="3853" max="4096" width="8.85546875" style="21"/>
    <col min="4097" max="4097" width="6.42578125" style="21" bestFit="1" customWidth="1"/>
    <col min="4098" max="4098" width="20.7109375" style="21" bestFit="1" customWidth="1"/>
    <col min="4099" max="4099" width="10" style="21" bestFit="1" customWidth="1"/>
    <col min="4100" max="4100" width="13.85546875" style="21" bestFit="1" customWidth="1"/>
    <col min="4101" max="4101" width="7.7109375" style="21" bestFit="1" customWidth="1"/>
    <col min="4102" max="4103" width="6" style="21" bestFit="1" customWidth="1"/>
    <col min="4104" max="4104" width="9.7109375" style="21" bestFit="1" customWidth="1"/>
    <col min="4105" max="4105" width="10.7109375" style="21" bestFit="1" customWidth="1"/>
    <col min="4106" max="4106" width="10" style="21" bestFit="1" customWidth="1"/>
    <col min="4107" max="4107" width="35.140625" style="21" bestFit="1" customWidth="1"/>
    <col min="4108" max="4108" width="4.7109375" style="21" bestFit="1" customWidth="1"/>
    <col min="4109" max="4352" width="8.85546875" style="21"/>
    <col min="4353" max="4353" width="6.42578125" style="21" bestFit="1" customWidth="1"/>
    <col min="4354" max="4354" width="20.7109375" style="21" bestFit="1" customWidth="1"/>
    <col min="4355" max="4355" width="10" style="21" bestFit="1" customWidth="1"/>
    <col min="4356" max="4356" width="13.85546875" style="21" bestFit="1" customWidth="1"/>
    <col min="4357" max="4357" width="7.7109375" style="21" bestFit="1" customWidth="1"/>
    <col min="4358" max="4359" width="6" style="21" bestFit="1" customWidth="1"/>
    <col min="4360" max="4360" width="9.7109375" style="21" bestFit="1" customWidth="1"/>
    <col min="4361" max="4361" width="10.7109375" style="21" bestFit="1" customWidth="1"/>
    <col min="4362" max="4362" width="10" style="21" bestFit="1" customWidth="1"/>
    <col min="4363" max="4363" width="35.140625" style="21" bestFit="1" customWidth="1"/>
    <col min="4364" max="4364" width="4.7109375" style="21" bestFit="1" customWidth="1"/>
    <col min="4365" max="4608" width="8.85546875" style="21"/>
    <col min="4609" max="4609" width="6.42578125" style="21" bestFit="1" customWidth="1"/>
    <col min="4610" max="4610" width="20.7109375" style="21" bestFit="1" customWidth="1"/>
    <col min="4611" max="4611" width="10" style="21" bestFit="1" customWidth="1"/>
    <col min="4612" max="4612" width="13.85546875" style="21" bestFit="1" customWidth="1"/>
    <col min="4613" max="4613" width="7.7109375" style="21" bestFit="1" customWidth="1"/>
    <col min="4614" max="4615" width="6" style="21" bestFit="1" customWidth="1"/>
    <col min="4616" max="4616" width="9.7109375" style="21" bestFit="1" customWidth="1"/>
    <col min="4617" max="4617" width="10.7109375" style="21" bestFit="1" customWidth="1"/>
    <col min="4618" max="4618" width="10" style="21" bestFit="1" customWidth="1"/>
    <col min="4619" max="4619" width="35.140625" style="21" bestFit="1" customWidth="1"/>
    <col min="4620" max="4620" width="4.7109375" style="21" bestFit="1" customWidth="1"/>
    <col min="4621" max="4864" width="8.85546875" style="21"/>
    <col min="4865" max="4865" width="6.42578125" style="21" bestFit="1" customWidth="1"/>
    <col min="4866" max="4866" width="20.7109375" style="21" bestFit="1" customWidth="1"/>
    <col min="4867" max="4867" width="10" style="21" bestFit="1" customWidth="1"/>
    <col min="4868" max="4868" width="13.85546875" style="21" bestFit="1" customWidth="1"/>
    <col min="4869" max="4869" width="7.7109375" style="21" bestFit="1" customWidth="1"/>
    <col min="4870" max="4871" width="6" style="21" bestFit="1" customWidth="1"/>
    <col min="4872" max="4872" width="9.7109375" style="21" bestFit="1" customWidth="1"/>
    <col min="4873" max="4873" width="10.7109375" style="21" bestFit="1" customWidth="1"/>
    <col min="4874" max="4874" width="10" style="21" bestFit="1" customWidth="1"/>
    <col min="4875" max="4875" width="35.140625" style="21" bestFit="1" customWidth="1"/>
    <col min="4876" max="4876" width="4.7109375" style="21" bestFit="1" customWidth="1"/>
    <col min="4877" max="5120" width="8.85546875" style="21"/>
    <col min="5121" max="5121" width="6.42578125" style="21" bestFit="1" customWidth="1"/>
    <col min="5122" max="5122" width="20.7109375" style="21" bestFit="1" customWidth="1"/>
    <col min="5123" max="5123" width="10" style="21" bestFit="1" customWidth="1"/>
    <col min="5124" max="5124" width="13.85546875" style="21" bestFit="1" customWidth="1"/>
    <col min="5125" max="5125" width="7.7109375" style="21" bestFit="1" customWidth="1"/>
    <col min="5126" max="5127" width="6" style="21" bestFit="1" customWidth="1"/>
    <col min="5128" max="5128" width="9.7109375" style="21" bestFit="1" customWidth="1"/>
    <col min="5129" max="5129" width="10.7109375" style="21" bestFit="1" customWidth="1"/>
    <col min="5130" max="5130" width="10" style="21" bestFit="1" customWidth="1"/>
    <col min="5131" max="5131" width="35.140625" style="21" bestFit="1" customWidth="1"/>
    <col min="5132" max="5132" width="4.7109375" style="21" bestFit="1" customWidth="1"/>
    <col min="5133" max="5376" width="8.85546875" style="21"/>
    <col min="5377" max="5377" width="6.42578125" style="21" bestFit="1" customWidth="1"/>
    <col min="5378" max="5378" width="20.7109375" style="21" bestFit="1" customWidth="1"/>
    <col min="5379" max="5379" width="10" style="21" bestFit="1" customWidth="1"/>
    <col min="5380" max="5380" width="13.85546875" style="21" bestFit="1" customWidth="1"/>
    <col min="5381" max="5381" width="7.7109375" style="21" bestFit="1" customWidth="1"/>
    <col min="5382" max="5383" width="6" style="21" bestFit="1" customWidth="1"/>
    <col min="5384" max="5384" width="9.7109375" style="21" bestFit="1" customWidth="1"/>
    <col min="5385" max="5385" width="10.7109375" style="21" bestFit="1" customWidth="1"/>
    <col min="5386" max="5386" width="10" style="21" bestFit="1" customWidth="1"/>
    <col min="5387" max="5387" width="35.140625" style="21" bestFit="1" customWidth="1"/>
    <col min="5388" max="5388" width="4.7109375" style="21" bestFit="1" customWidth="1"/>
    <col min="5389" max="5632" width="8.85546875" style="21"/>
    <col min="5633" max="5633" width="6.42578125" style="21" bestFit="1" customWidth="1"/>
    <col min="5634" max="5634" width="20.7109375" style="21" bestFit="1" customWidth="1"/>
    <col min="5635" max="5635" width="10" style="21" bestFit="1" customWidth="1"/>
    <col min="5636" max="5636" width="13.85546875" style="21" bestFit="1" customWidth="1"/>
    <col min="5637" max="5637" width="7.7109375" style="21" bestFit="1" customWidth="1"/>
    <col min="5638" max="5639" width="6" style="21" bestFit="1" customWidth="1"/>
    <col min="5640" max="5640" width="9.7109375" style="21" bestFit="1" customWidth="1"/>
    <col min="5641" max="5641" width="10.7109375" style="21" bestFit="1" customWidth="1"/>
    <col min="5642" max="5642" width="10" style="21" bestFit="1" customWidth="1"/>
    <col min="5643" max="5643" width="35.140625" style="21" bestFit="1" customWidth="1"/>
    <col min="5644" max="5644" width="4.7109375" style="21" bestFit="1" customWidth="1"/>
    <col min="5645" max="5888" width="8.85546875" style="21"/>
    <col min="5889" max="5889" width="6.42578125" style="21" bestFit="1" customWidth="1"/>
    <col min="5890" max="5890" width="20.7109375" style="21" bestFit="1" customWidth="1"/>
    <col min="5891" max="5891" width="10" style="21" bestFit="1" customWidth="1"/>
    <col min="5892" max="5892" width="13.85546875" style="21" bestFit="1" customWidth="1"/>
    <col min="5893" max="5893" width="7.7109375" style="21" bestFit="1" customWidth="1"/>
    <col min="5894" max="5895" width="6" style="21" bestFit="1" customWidth="1"/>
    <col min="5896" max="5896" width="9.7109375" style="21" bestFit="1" customWidth="1"/>
    <col min="5897" max="5897" width="10.7109375" style="21" bestFit="1" customWidth="1"/>
    <col min="5898" max="5898" width="10" style="21" bestFit="1" customWidth="1"/>
    <col min="5899" max="5899" width="35.140625" style="21" bestFit="1" customWidth="1"/>
    <col min="5900" max="5900" width="4.7109375" style="21" bestFit="1" customWidth="1"/>
    <col min="5901" max="6144" width="8.85546875" style="21"/>
    <col min="6145" max="6145" width="6.42578125" style="21" bestFit="1" customWidth="1"/>
    <col min="6146" max="6146" width="20.7109375" style="21" bestFit="1" customWidth="1"/>
    <col min="6147" max="6147" width="10" style="21" bestFit="1" customWidth="1"/>
    <col min="6148" max="6148" width="13.85546875" style="21" bestFit="1" customWidth="1"/>
    <col min="6149" max="6149" width="7.7109375" style="21" bestFit="1" customWidth="1"/>
    <col min="6150" max="6151" width="6" style="21" bestFit="1" customWidth="1"/>
    <col min="6152" max="6152" width="9.7109375" style="21" bestFit="1" customWidth="1"/>
    <col min="6153" max="6153" width="10.7109375" style="21" bestFit="1" customWidth="1"/>
    <col min="6154" max="6154" width="10" style="21" bestFit="1" customWidth="1"/>
    <col min="6155" max="6155" width="35.140625" style="21" bestFit="1" customWidth="1"/>
    <col min="6156" max="6156" width="4.7109375" style="21" bestFit="1" customWidth="1"/>
    <col min="6157" max="6400" width="8.85546875" style="21"/>
    <col min="6401" max="6401" width="6.42578125" style="21" bestFit="1" customWidth="1"/>
    <col min="6402" max="6402" width="20.7109375" style="21" bestFit="1" customWidth="1"/>
    <col min="6403" max="6403" width="10" style="21" bestFit="1" customWidth="1"/>
    <col min="6404" max="6404" width="13.85546875" style="21" bestFit="1" customWidth="1"/>
    <col min="6405" max="6405" width="7.7109375" style="21" bestFit="1" customWidth="1"/>
    <col min="6406" max="6407" width="6" style="21" bestFit="1" customWidth="1"/>
    <col min="6408" max="6408" width="9.7109375" style="21" bestFit="1" customWidth="1"/>
    <col min="6409" max="6409" width="10.7109375" style="21" bestFit="1" customWidth="1"/>
    <col min="6410" max="6410" width="10" style="21" bestFit="1" customWidth="1"/>
    <col min="6411" max="6411" width="35.140625" style="21" bestFit="1" customWidth="1"/>
    <col min="6412" max="6412" width="4.7109375" style="21" bestFit="1" customWidth="1"/>
    <col min="6413" max="6656" width="8.85546875" style="21"/>
    <col min="6657" max="6657" width="6.42578125" style="21" bestFit="1" customWidth="1"/>
    <col min="6658" max="6658" width="20.7109375" style="21" bestFit="1" customWidth="1"/>
    <col min="6659" max="6659" width="10" style="21" bestFit="1" customWidth="1"/>
    <col min="6660" max="6660" width="13.85546875" style="21" bestFit="1" customWidth="1"/>
    <col min="6661" max="6661" width="7.7109375" style="21" bestFit="1" customWidth="1"/>
    <col min="6662" max="6663" width="6" style="21" bestFit="1" customWidth="1"/>
    <col min="6664" max="6664" width="9.7109375" style="21" bestFit="1" customWidth="1"/>
    <col min="6665" max="6665" width="10.7109375" style="21" bestFit="1" customWidth="1"/>
    <col min="6666" max="6666" width="10" style="21" bestFit="1" customWidth="1"/>
    <col min="6667" max="6667" width="35.140625" style="21" bestFit="1" customWidth="1"/>
    <col min="6668" max="6668" width="4.7109375" style="21" bestFit="1" customWidth="1"/>
    <col min="6669" max="6912" width="8.85546875" style="21"/>
    <col min="6913" max="6913" width="6.42578125" style="21" bestFit="1" customWidth="1"/>
    <col min="6914" max="6914" width="20.7109375" style="21" bestFit="1" customWidth="1"/>
    <col min="6915" max="6915" width="10" style="21" bestFit="1" customWidth="1"/>
    <col min="6916" max="6916" width="13.85546875" style="21" bestFit="1" customWidth="1"/>
    <col min="6917" max="6917" width="7.7109375" style="21" bestFit="1" customWidth="1"/>
    <col min="6918" max="6919" width="6" style="21" bestFit="1" customWidth="1"/>
    <col min="6920" max="6920" width="9.7109375" style="21" bestFit="1" customWidth="1"/>
    <col min="6921" max="6921" width="10.7109375" style="21" bestFit="1" customWidth="1"/>
    <col min="6922" max="6922" width="10" style="21" bestFit="1" customWidth="1"/>
    <col min="6923" max="6923" width="35.140625" style="21" bestFit="1" customWidth="1"/>
    <col min="6924" max="6924" width="4.7109375" style="21" bestFit="1" customWidth="1"/>
    <col min="6925" max="7168" width="8.85546875" style="21"/>
    <col min="7169" max="7169" width="6.42578125" style="21" bestFit="1" customWidth="1"/>
    <col min="7170" max="7170" width="20.7109375" style="21" bestFit="1" customWidth="1"/>
    <col min="7171" max="7171" width="10" style="21" bestFit="1" customWidth="1"/>
    <col min="7172" max="7172" width="13.85546875" style="21" bestFit="1" customWidth="1"/>
    <col min="7173" max="7173" width="7.7109375" style="21" bestFit="1" customWidth="1"/>
    <col min="7174" max="7175" width="6" style="21" bestFit="1" customWidth="1"/>
    <col min="7176" max="7176" width="9.7109375" style="21" bestFit="1" customWidth="1"/>
    <col min="7177" max="7177" width="10.7109375" style="21" bestFit="1" customWidth="1"/>
    <col min="7178" max="7178" width="10" style="21" bestFit="1" customWidth="1"/>
    <col min="7179" max="7179" width="35.140625" style="21" bestFit="1" customWidth="1"/>
    <col min="7180" max="7180" width="4.7109375" style="21" bestFit="1" customWidth="1"/>
    <col min="7181" max="7424" width="8.85546875" style="21"/>
    <col min="7425" max="7425" width="6.42578125" style="21" bestFit="1" customWidth="1"/>
    <col min="7426" max="7426" width="20.7109375" style="21" bestFit="1" customWidth="1"/>
    <col min="7427" max="7427" width="10" style="21" bestFit="1" customWidth="1"/>
    <col min="7428" max="7428" width="13.85546875" style="21" bestFit="1" customWidth="1"/>
    <col min="7429" max="7429" width="7.7109375" style="21" bestFit="1" customWidth="1"/>
    <col min="7430" max="7431" width="6" style="21" bestFit="1" customWidth="1"/>
    <col min="7432" max="7432" width="9.7109375" style="21" bestFit="1" customWidth="1"/>
    <col min="7433" max="7433" width="10.7109375" style="21" bestFit="1" customWidth="1"/>
    <col min="7434" max="7434" width="10" style="21" bestFit="1" customWidth="1"/>
    <col min="7435" max="7435" width="35.140625" style="21" bestFit="1" customWidth="1"/>
    <col min="7436" max="7436" width="4.7109375" style="21" bestFit="1" customWidth="1"/>
    <col min="7437" max="7680" width="8.85546875" style="21"/>
    <col min="7681" max="7681" width="6.42578125" style="21" bestFit="1" customWidth="1"/>
    <col min="7682" max="7682" width="20.7109375" style="21" bestFit="1" customWidth="1"/>
    <col min="7683" max="7683" width="10" style="21" bestFit="1" customWidth="1"/>
    <col min="7684" max="7684" width="13.85546875" style="21" bestFit="1" customWidth="1"/>
    <col min="7685" max="7685" width="7.7109375" style="21" bestFit="1" customWidth="1"/>
    <col min="7686" max="7687" width="6" style="21" bestFit="1" customWidth="1"/>
    <col min="7688" max="7688" width="9.7109375" style="21" bestFit="1" customWidth="1"/>
    <col min="7689" max="7689" width="10.7109375" style="21" bestFit="1" customWidth="1"/>
    <col min="7690" max="7690" width="10" style="21" bestFit="1" customWidth="1"/>
    <col min="7691" max="7691" width="35.140625" style="21" bestFit="1" customWidth="1"/>
    <col min="7692" max="7692" width="4.7109375" style="21" bestFit="1" customWidth="1"/>
    <col min="7693" max="7936" width="8.85546875" style="21"/>
    <col min="7937" max="7937" width="6.42578125" style="21" bestFit="1" customWidth="1"/>
    <col min="7938" max="7938" width="20.7109375" style="21" bestFit="1" customWidth="1"/>
    <col min="7939" max="7939" width="10" style="21" bestFit="1" customWidth="1"/>
    <col min="7940" max="7940" width="13.85546875" style="21" bestFit="1" customWidth="1"/>
    <col min="7941" max="7941" width="7.7109375" style="21" bestFit="1" customWidth="1"/>
    <col min="7942" max="7943" width="6" style="21" bestFit="1" customWidth="1"/>
    <col min="7944" max="7944" width="9.7109375" style="21" bestFit="1" customWidth="1"/>
    <col min="7945" max="7945" width="10.7109375" style="21" bestFit="1" customWidth="1"/>
    <col min="7946" max="7946" width="10" style="21" bestFit="1" customWidth="1"/>
    <col min="7947" max="7947" width="35.140625" style="21" bestFit="1" customWidth="1"/>
    <col min="7948" max="7948" width="4.7109375" style="21" bestFit="1" customWidth="1"/>
    <col min="7949" max="8192" width="8.85546875" style="21"/>
    <col min="8193" max="8193" width="6.42578125" style="21" bestFit="1" customWidth="1"/>
    <col min="8194" max="8194" width="20.7109375" style="21" bestFit="1" customWidth="1"/>
    <col min="8195" max="8195" width="10" style="21" bestFit="1" customWidth="1"/>
    <col min="8196" max="8196" width="13.85546875" style="21" bestFit="1" customWidth="1"/>
    <col min="8197" max="8197" width="7.7109375" style="21" bestFit="1" customWidth="1"/>
    <col min="8198" max="8199" width="6" style="21" bestFit="1" customWidth="1"/>
    <col min="8200" max="8200" width="9.7109375" style="21" bestFit="1" customWidth="1"/>
    <col min="8201" max="8201" width="10.7109375" style="21" bestFit="1" customWidth="1"/>
    <col min="8202" max="8202" width="10" style="21" bestFit="1" customWidth="1"/>
    <col min="8203" max="8203" width="35.140625" style="21" bestFit="1" customWidth="1"/>
    <col min="8204" max="8204" width="4.7109375" style="21" bestFit="1" customWidth="1"/>
    <col min="8205" max="8448" width="8.85546875" style="21"/>
    <col min="8449" max="8449" width="6.42578125" style="21" bestFit="1" customWidth="1"/>
    <col min="8450" max="8450" width="20.7109375" style="21" bestFit="1" customWidth="1"/>
    <col min="8451" max="8451" width="10" style="21" bestFit="1" customWidth="1"/>
    <col min="8452" max="8452" width="13.85546875" style="21" bestFit="1" customWidth="1"/>
    <col min="8453" max="8453" width="7.7109375" style="21" bestFit="1" customWidth="1"/>
    <col min="8454" max="8455" width="6" style="21" bestFit="1" customWidth="1"/>
    <col min="8456" max="8456" width="9.7109375" style="21" bestFit="1" customWidth="1"/>
    <col min="8457" max="8457" width="10.7109375" style="21" bestFit="1" customWidth="1"/>
    <col min="8458" max="8458" width="10" style="21" bestFit="1" customWidth="1"/>
    <col min="8459" max="8459" width="35.140625" style="21" bestFit="1" customWidth="1"/>
    <col min="8460" max="8460" width="4.7109375" style="21" bestFit="1" customWidth="1"/>
    <col min="8461" max="8704" width="8.85546875" style="21"/>
    <col min="8705" max="8705" width="6.42578125" style="21" bestFit="1" customWidth="1"/>
    <col min="8706" max="8706" width="20.7109375" style="21" bestFit="1" customWidth="1"/>
    <col min="8707" max="8707" width="10" style="21" bestFit="1" customWidth="1"/>
    <col min="8708" max="8708" width="13.85546875" style="21" bestFit="1" customWidth="1"/>
    <col min="8709" max="8709" width="7.7109375" style="21" bestFit="1" customWidth="1"/>
    <col min="8710" max="8711" width="6" style="21" bestFit="1" customWidth="1"/>
    <col min="8712" max="8712" width="9.7109375" style="21" bestFit="1" customWidth="1"/>
    <col min="8713" max="8713" width="10.7109375" style="21" bestFit="1" customWidth="1"/>
    <col min="8714" max="8714" width="10" style="21" bestFit="1" customWidth="1"/>
    <col min="8715" max="8715" width="35.140625" style="21" bestFit="1" customWidth="1"/>
    <col min="8716" max="8716" width="4.7109375" style="21" bestFit="1" customWidth="1"/>
    <col min="8717" max="8960" width="8.85546875" style="21"/>
    <col min="8961" max="8961" width="6.42578125" style="21" bestFit="1" customWidth="1"/>
    <col min="8962" max="8962" width="20.7109375" style="21" bestFit="1" customWidth="1"/>
    <col min="8963" max="8963" width="10" style="21" bestFit="1" customWidth="1"/>
    <col min="8964" max="8964" width="13.85546875" style="21" bestFit="1" customWidth="1"/>
    <col min="8965" max="8965" width="7.7109375" style="21" bestFit="1" customWidth="1"/>
    <col min="8966" max="8967" width="6" style="21" bestFit="1" customWidth="1"/>
    <col min="8968" max="8968" width="9.7109375" style="21" bestFit="1" customWidth="1"/>
    <col min="8969" max="8969" width="10.7109375" style="21" bestFit="1" customWidth="1"/>
    <col min="8970" max="8970" width="10" style="21" bestFit="1" customWidth="1"/>
    <col min="8971" max="8971" width="35.140625" style="21" bestFit="1" customWidth="1"/>
    <col min="8972" max="8972" width="4.7109375" style="21" bestFit="1" customWidth="1"/>
    <col min="8973" max="9216" width="8.85546875" style="21"/>
    <col min="9217" max="9217" width="6.42578125" style="21" bestFit="1" customWidth="1"/>
    <col min="9218" max="9218" width="20.7109375" style="21" bestFit="1" customWidth="1"/>
    <col min="9219" max="9219" width="10" style="21" bestFit="1" customWidth="1"/>
    <col min="9220" max="9220" width="13.85546875" style="21" bestFit="1" customWidth="1"/>
    <col min="9221" max="9221" width="7.7109375" style="21" bestFit="1" customWidth="1"/>
    <col min="9222" max="9223" width="6" style="21" bestFit="1" customWidth="1"/>
    <col min="9224" max="9224" width="9.7109375" style="21" bestFit="1" customWidth="1"/>
    <col min="9225" max="9225" width="10.7109375" style="21" bestFit="1" customWidth="1"/>
    <col min="9226" max="9226" width="10" style="21" bestFit="1" customWidth="1"/>
    <col min="9227" max="9227" width="35.140625" style="21" bestFit="1" customWidth="1"/>
    <col min="9228" max="9228" width="4.7109375" style="21" bestFit="1" customWidth="1"/>
    <col min="9229" max="9472" width="8.85546875" style="21"/>
    <col min="9473" max="9473" width="6.42578125" style="21" bestFit="1" customWidth="1"/>
    <col min="9474" max="9474" width="20.7109375" style="21" bestFit="1" customWidth="1"/>
    <col min="9475" max="9475" width="10" style="21" bestFit="1" customWidth="1"/>
    <col min="9476" max="9476" width="13.85546875" style="21" bestFit="1" customWidth="1"/>
    <col min="9477" max="9477" width="7.7109375" style="21" bestFit="1" customWidth="1"/>
    <col min="9478" max="9479" width="6" style="21" bestFit="1" customWidth="1"/>
    <col min="9480" max="9480" width="9.7109375" style="21" bestFit="1" customWidth="1"/>
    <col min="9481" max="9481" width="10.7109375" style="21" bestFit="1" customWidth="1"/>
    <col min="9482" max="9482" width="10" style="21" bestFit="1" customWidth="1"/>
    <col min="9483" max="9483" width="35.140625" style="21" bestFit="1" customWidth="1"/>
    <col min="9484" max="9484" width="4.7109375" style="21" bestFit="1" customWidth="1"/>
    <col min="9485" max="9728" width="8.85546875" style="21"/>
    <col min="9729" max="9729" width="6.42578125" style="21" bestFit="1" customWidth="1"/>
    <col min="9730" max="9730" width="20.7109375" style="21" bestFit="1" customWidth="1"/>
    <col min="9731" max="9731" width="10" style="21" bestFit="1" customWidth="1"/>
    <col min="9732" max="9732" width="13.85546875" style="21" bestFit="1" customWidth="1"/>
    <col min="9733" max="9733" width="7.7109375" style="21" bestFit="1" customWidth="1"/>
    <col min="9734" max="9735" width="6" style="21" bestFit="1" customWidth="1"/>
    <col min="9736" max="9736" width="9.7109375" style="21" bestFit="1" customWidth="1"/>
    <col min="9737" max="9737" width="10.7109375" style="21" bestFit="1" customWidth="1"/>
    <col min="9738" max="9738" width="10" style="21" bestFit="1" customWidth="1"/>
    <col min="9739" max="9739" width="35.140625" style="21" bestFit="1" customWidth="1"/>
    <col min="9740" max="9740" width="4.7109375" style="21" bestFit="1" customWidth="1"/>
    <col min="9741" max="9984" width="8.85546875" style="21"/>
    <col min="9985" max="9985" width="6.42578125" style="21" bestFit="1" customWidth="1"/>
    <col min="9986" max="9986" width="20.7109375" style="21" bestFit="1" customWidth="1"/>
    <col min="9987" max="9987" width="10" style="21" bestFit="1" customWidth="1"/>
    <col min="9988" max="9988" width="13.85546875" style="21" bestFit="1" customWidth="1"/>
    <col min="9989" max="9989" width="7.7109375" style="21" bestFit="1" customWidth="1"/>
    <col min="9990" max="9991" width="6" style="21" bestFit="1" customWidth="1"/>
    <col min="9992" max="9992" width="9.7109375" style="21" bestFit="1" customWidth="1"/>
    <col min="9993" max="9993" width="10.7109375" style="21" bestFit="1" customWidth="1"/>
    <col min="9994" max="9994" width="10" style="21" bestFit="1" customWidth="1"/>
    <col min="9995" max="9995" width="35.140625" style="21" bestFit="1" customWidth="1"/>
    <col min="9996" max="9996" width="4.7109375" style="21" bestFit="1" customWidth="1"/>
    <col min="9997" max="10240" width="8.85546875" style="21"/>
    <col min="10241" max="10241" width="6.42578125" style="21" bestFit="1" customWidth="1"/>
    <col min="10242" max="10242" width="20.7109375" style="21" bestFit="1" customWidth="1"/>
    <col min="10243" max="10243" width="10" style="21" bestFit="1" customWidth="1"/>
    <col min="10244" max="10244" width="13.85546875" style="21" bestFit="1" customWidth="1"/>
    <col min="10245" max="10245" width="7.7109375" style="21" bestFit="1" customWidth="1"/>
    <col min="10246" max="10247" width="6" style="21" bestFit="1" customWidth="1"/>
    <col min="10248" max="10248" width="9.7109375" style="21" bestFit="1" customWidth="1"/>
    <col min="10249" max="10249" width="10.7109375" style="21" bestFit="1" customWidth="1"/>
    <col min="10250" max="10250" width="10" style="21" bestFit="1" customWidth="1"/>
    <col min="10251" max="10251" width="35.140625" style="21" bestFit="1" customWidth="1"/>
    <col min="10252" max="10252" width="4.7109375" style="21" bestFit="1" customWidth="1"/>
    <col min="10253" max="10496" width="8.85546875" style="21"/>
    <col min="10497" max="10497" width="6.42578125" style="21" bestFit="1" customWidth="1"/>
    <col min="10498" max="10498" width="20.7109375" style="21" bestFit="1" customWidth="1"/>
    <col min="10499" max="10499" width="10" style="21" bestFit="1" customWidth="1"/>
    <col min="10500" max="10500" width="13.85546875" style="21" bestFit="1" customWidth="1"/>
    <col min="10501" max="10501" width="7.7109375" style="21" bestFit="1" customWidth="1"/>
    <col min="10502" max="10503" width="6" style="21" bestFit="1" customWidth="1"/>
    <col min="10504" max="10504" width="9.7109375" style="21" bestFit="1" customWidth="1"/>
    <col min="10505" max="10505" width="10.7109375" style="21" bestFit="1" customWidth="1"/>
    <col min="10506" max="10506" width="10" style="21" bestFit="1" customWidth="1"/>
    <col min="10507" max="10507" width="35.140625" style="21" bestFit="1" customWidth="1"/>
    <col min="10508" max="10508" width="4.7109375" style="21" bestFit="1" customWidth="1"/>
    <col min="10509" max="10752" width="8.85546875" style="21"/>
    <col min="10753" max="10753" width="6.42578125" style="21" bestFit="1" customWidth="1"/>
    <col min="10754" max="10754" width="20.7109375" style="21" bestFit="1" customWidth="1"/>
    <col min="10755" max="10755" width="10" style="21" bestFit="1" customWidth="1"/>
    <col min="10756" max="10756" width="13.85546875" style="21" bestFit="1" customWidth="1"/>
    <col min="10757" max="10757" width="7.7109375" style="21" bestFit="1" customWidth="1"/>
    <col min="10758" max="10759" width="6" style="21" bestFit="1" customWidth="1"/>
    <col min="10760" max="10760" width="9.7109375" style="21" bestFit="1" customWidth="1"/>
    <col min="10761" max="10761" width="10.7109375" style="21" bestFit="1" customWidth="1"/>
    <col min="10762" max="10762" width="10" style="21" bestFit="1" customWidth="1"/>
    <col min="10763" max="10763" width="35.140625" style="21" bestFit="1" customWidth="1"/>
    <col min="10764" max="10764" width="4.7109375" style="21" bestFit="1" customWidth="1"/>
    <col min="10765" max="11008" width="8.85546875" style="21"/>
    <col min="11009" max="11009" width="6.42578125" style="21" bestFit="1" customWidth="1"/>
    <col min="11010" max="11010" width="20.7109375" style="21" bestFit="1" customWidth="1"/>
    <col min="11011" max="11011" width="10" style="21" bestFit="1" customWidth="1"/>
    <col min="11012" max="11012" width="13.85546875" style="21" bestFit="1" customWidth="1"/>
    <col min="11013" max="11013" width="7.7109375" style="21" bestFit="1" customWidth="1"/>
    <col min="11014" max="11015" width="6" style="21" bestFit="1" customWidth="1"/>
    <col min="11016" max="11016" width="9.7109375" style="21" bestFit="1" customWidth="1"/>
    <col min="11017" max="11017" width="10.7109375" style="21" bestFit="1" customWidth="1"/>
    <col min="11018" max="11018" width="10" style="21" bestFit="1" customWidth="1"/>
    <col min="11019" max="11019" width="35.140625" style="21" bestFit="1" customWidth="1"/>
    <col min="11020" max="11020" width="4.7109375" style="21" bestFit="1" customWidth="1"/>
    <col min="11021" max="11264" width="8.85546875" style="21"/>
    <col min="11265" max="11265" width="6.42578125" style="21" bestFit="1" customWidth="1"/>
    <col min="11266" max="11266" width="20.7109375" style="21" bestFit="1" customWidth="1"/>
    <col min="11267" max="11267" width="10" style="21" bestFit="1" customWidth="1"/>
    <col min="11268" max="11268" width="13.85546875" style="21" bestFit="1" customWidth="1"/>
    <col min="11269" max="11269" width="7.7109375" style="21" bestFit="1" customWidth="1"/>
    <col min="11270" max="11271" width="6" style="21" bestFit="1" customWidth="1"/>
    <col min="11272" max="11272" width="9.7109375" style="21" bestFit="1" customWidth="1"/>
    <col min="11273" max="11273" width="10.7109375" style="21" bestFit="1" customWidth="1"/>
    <col min="11274" max="11274" width="10" style="21" bestFit="1" customWidth="1"/>
    <col min="11275" max="11275" width="35.140625" style="21" bestFit="1" customWidth="1"/>
    <col min="11276" max="11276" width="4.7109375" style="21" bestFit="1" customWidth="1"/>
    <col min="11277" max="11520" width="8.85546875" style="21"/>
    <col min="11521" max="11521" width="6.42578125" style="21" bestFit="1" customWidth="1"/>
    <col min="11522" max="11522" width="20.7109375" style="21" bestFit="1" customWidth="1"/>
    <col min="11523" max="11523" width="10" style="21" bestFit="1" customWidth="1"/>
    <col min="11524" max="11524" width="13.85546875" style="21" bestFit="1" customWidth="1"/>
    <col min="11525" max="11525" width="7.7109375" style="21" bestFit="1" customWidth="1"/>
    <col min="11526" max="11527" width="6" style="21" bestFit="1" customWidth="1"/>
    <col min="11528" max="11528" width="9.7109375" style="21" bestFit="1" customWidth="1"/>
    <col min="11529" max="11529" width="10.7109375" style="21" bestFit="1" customWidth="1"/>
    <col min="11530" max="11530" width="10" style="21" bestFit="1" customWidth="1"/>
    <col min="11531" max="11531" width="35.140625" style="21" bestFit="1" customWidth="1"/>
    <col min="11532" max="11532" width="4.7109375" style="21" bestFit="1" customWidth="1"/>
    <col min="11533" max="11776" width="8.85546875" style="21"/>
    <col min="11777" max="11777" width="6.42578125" style="21" bestFit="1" customWidth="1"/>
    <col min="11778" max="11778" width="20.7109375" style="21" bestFit="1" customWidth="1"/>
    <col min="11779" max="11779" width="10" style="21" bestFit="1" customWidth="1"/>
    <col min="11780" max="11780" width="13.85546875" style="21" bestFit="1" customWidth="1"/>
    <col min="11781" max="11781" width="7.7109375" style="21" bestFit="1" customWidth="1"/>
    <col min="11782" max="11783" width="6" style="21" bestFit="1" customWidth="1"/>
    <col min="11784" max="11784" width="9.7109375" style="21" bestFit="1" customWidth="1"/>
    <col min="11785" max="11785" width="10.7109375" style="21" bestFit="1" customWidth="1"/>
    <col min="11786" max="11786" width="10" style="21" bestFit="1" customWidth="1"/>
    <col min="11787" max="11787" width="35.140625" style="21" bestFit="1" customWidth="1"/>
    <col min="11788" max="11788" width="4.7109375" style="21" bestFit="1" customWidth="1"/>
    <col min="11789" max="12032" width="8.85546875" style="21"/>
    <col min="12033" max="12033" width="6.42578125" style="21" bestFit="1" customWidth="1"/>
    <col min="12034" max="12034" width="20.7109375" style="21" bestFit="1" customWidth="1"/>
    <col min="12035" max="12035" width="10" style="21" bestFit="1" customWidth="1"/>
    <col min="12036" max="12036" width="13.85546875" style="21" bestFit="1" customWidth="1"/>
    <col min="12037" max="12037" width="7.7109375" style="21" bestFit="1" customWidth="1"/>
    <col min="12038" max="12039" width="6" style="21" bestFit="1" customWidth="1"/>
    <col min="12040" max="12040" width="9.7109375" style="21" bestFit="1" customWidth="1"/>
    <col min="12041" max="12041" width="10.7109375" style="21" bestFit="1" customWidth="1"/>
    <col min="12042" max="12042" width="10" style="21" bestFit="1" customWidth="1"/>
    <col min="12043" max="12043" width="35.140625" style="21" bestFit="1" customWidth="1"/>
    <col min="12044" max="12044" width="4.7109375" style="21" bestFit="1" customWidth="1"/>
    <col min="12045" max="12288" width="8.85546875" style="21"/>
    <col min="12289" max="12289" width="6.42578125" style="21" bestFit="1" customWidth="1"/>
    <col min="12290" max="12290" width="20.7109375" style="21" bestFit="1" customWidth="1"/>
    <col min="12291" max="12291" width="10" style="21" bestFit="1" customWidth="1"/>
    <col min="12292" max="12292" width="13.85546875" style="21" bestFit="1" customWidth="1"/>
    <col min="12293" max="12293" width="7.7109375" style="21" bestFit="1" customWidth="1"/>
    <col min="12294" max="12295" width="6" style="21" bestFit="1" customWidth="1"/>
    <col min="12296" max="12296" width="9.7109375" style="21" bestFit="1" customWidth="1"/>
    <col min="12297" max="12297" width="10.7109375" style="21" bestFit="1" customWidth="1"/>
    <col min="12298" max="12298" width="10" style="21" bestFit="1" customWidth="1"/>
    <col min="12299" max="12299" width="35.140625" style="21" bestFit="1" customWidth="1"/>
    <col min="12300" max="12300" width="4.7109375" style="21" bestFit="1" customWidth="1"/>
    <col min="12301" max="12544" width="8.85546875" style="21"/>
    <col min="12545" max="12545" width="6.42578125" style="21" bestFit="1" customWidth="1"/>
    <col min="12546" max="12546" width="20.7109375" style="21" bestFit="1" customWidth="1"/>
    <col min="12547" max="12547" width="10" style="21" bestFit="1" customWidth="1"/>
    <col min="12548" max="12548" width="13.85546875" style="21" bestFit="1" customWidth="1"/>
    <col min="12549" max="12549" width="7.7109375" style="21" bestFit="1" customWidth="1"/>
    <col min="12550" max="12551" width="6" style="21" bestFit="1" customWidth="1"/>
    <col min="12552" max="12552" width="9.7109375" style="21" bestFit="1" customWidth="1"/>
    <col min="12553" max="12553" width="10.7109375" style="21" bestFit="1" customWidth="1"/>
    <col min="12554" max="12554" width="10" style="21" bestFit="1" customWidth="1"/>
    <col min="12555" max="12555" width="35.140625" style="21" bestFit="1" customWidth="1"/>
    <col min="12556" max="12556" width="4.7109375" style="21" bestFit="1" customWidth="1"/>
    <col min="12557" max="12800" width="8.85546875" style="21"/>
    <col min="12801" max="12801" width="6.42578125" style="21" bestFit="1" customWidth="1"/>
    <col min="12802" max="12802" width="20.7109375" style="21" bestFit="1" customWidth="1"/>
    <col min="12803" max="12803" width="10" style="21" bestFit="1" customWidth="1"/>
    <col min="12804" max="12804" width="13.85546875" style="21" bestFit="1" customWidth="1"/>
    <col min="12805" max="12805" width="7.7109375" style="21" bestFit="1" customWidth="1"/>
    <col min="12806" max="12807" width="6" style="21" bestFit="1" customWidth="1"/>
    <col min="12808" max="12808" width="9.7109375" style="21" bestFit="1" customWidth="1"/>
    <col min="12809" max="12809" width="10.7109375" style="21" bestFit="1" customWidth="1"/>
    <col min="12810" max="12810" width="10" style="21" bestFit="1" customWidth="1"/>
    <col min="12811" max="12811" width="35.140625" style="21" bestFit="1" customWidth="1"/>
    <col min="12812" max="12812" width="4.7109375" style="21" bestFit="1" customWidth="1"/>
    <col min="12813" max="13056" width="8.85546875" style="21"/>
    <col min="13057" max="13057" width="6.42578125" style="21" bestFit="1" customWidth="1"/>
    <col min="13058" max="13058" width="20.7109375" style="21" bestFit="1" customWidth="1"/>
    <col min="13059" max="13059" width="10" style="21" bestFit="1" customWidth="1"/>
    <col min="13060" max="13060" width="13.85546875" style="21" bestFit="1" customWidth="1"/>
    <col min="13061" max="13061" width="7.7109375" style="21" bestFit="1" customWidth="1"/>
    <col min="13062" max="13063" width="6" style="21" bestFit="1" customWidth="1"/>
    <col min="13064" max="13064" width="9.7109375" style="21" bestFit="1" customWidth="1"/>
    <col min="13065" max="13065" width="10.7109375" style="21" bestFit="1" customWidth="1"/>
    <col min="13066" max="13066" width="10" style="21" bestFit="1" customWidth="1"/>
    <col min="13067" max="13067" width="35.140625" style="21" bestFit="1" customWidth="1"/>
    <col min="13068" max="13068" width="4.7109375" style="21" bestFit="1" customWidth="1"/>
    <col min="13069" max="13312" width="8.85546875" style="21"/>
    <col min="13313" max="13313" width="6.42578125" style="21" bestFit="1" customWidth="1"/>
    <col min="13314" max="13314" width="20.7109375" style="21" bestFit="1" customWidth="1"/>
    <col min="13315" max="13315" width="10" style="21" bestFit="1" customWidth="1"/>
    <col min="13316" max="13316" width="13.85546875" style="21" bestFit="1" customWidth="1"/>
    <col min="13317" max="13317" width="7.7109375" style="21" bestFit="1" customWidth="1"/>
    <col min="13318" max="13319" width="6" style="21" bestFit="1" customWidth="1"/>
    <col min="13320" max="13320" width="9.7109375" style="21" bestFit="1" customWidth="1"/>
    <col min="13321" max="13321" width="10.7109375" style="21" bestFit="1" customWidth="1"/>
    <col min="13322" max="13322" width="10" style="21" bestFit="1" customWidth="1"/>
    <col min="13323" max="13323" width="35.140625" style="21" bestFit="1" customWidth="1"/>
    <col min="13324" max="13324" width="4.7109375" style="21" bestFit="1" customWidth="1"/>
    <col min="13325" max="13568" width="8.85546875" style="21"/>
    <col min="13569" max="13569" width="6.42578125" style="21" bestFit="1" customWidth="1"/>
    <col min="13570" max="13570" width="20.7109375" style="21" bestFit="1" customWidth="1"/>
    <col min="13571" max="13571" width="10" style="21" bestFit="1" customWidth="1"/>
    <col min="13572" max="13572" width="13.85546875" style="21" bestFit="1" customWidth="1"/>
    <col min="13573" max="13573" width="7.7109375" style="21" bestFit="1" customWidth="1"/>
    <col min="13574" max="13575" width="6" style="21" bestFit="1" customWidth="1"/>
    <col min="13576" max="13576" width="9.7109375" style="21" bestFit="1" customWidth="1"/>
    <col min="13577" max="13577" width="10.7109375" style="21" bestFit="1" customWidth="1"/>
    <col min="13578" max="13578" width="10" style="21" bestFit="1" customWidth="1"/>
    <col min="13579" max="13579" width="35.140625" style="21" bestFit="1" customWidth="1"/>
    <col min="13580" max="13580" width="4.7109375" style="21" bestFit="1" customWidth="1"/>
    <col min="13581" max="13824" width="8.85546875" style="21"/>
    <col min="13825" max="13825" width="6.42578125" style="21" bestFit="1" customWidth="1"/>
    <col min="13826" max="13826" width="20.7109375" style="21" bestFit="1" customWidth="1"/>
    <col min="13827" max="13827" width="10" style="21" bestFit="1" customWidth="1"/>
    <col min="13828" max="13828" width="13.85546875" style="21" bestFit="1" customWidth="1"/>
    <col min="13829" max="13829" width="7.7109375" style="21" bestFit="1" customWidth="1"/>
    <col min="13830" max="13831" width="6" style="21" bestFit="1" customWidth="1"/>
    <col min="13832" max="13832" width="9.7109375" style="21" bestFit="1" customWidth="1"/>
    <col min="13833" max="13833" width="10.7109375" style="21" bestFit="1" customWidth="1"/>
    <col min="13834" max="13834" width="10" style="21" bestFit="1" customWidth="1"/>
    <col min="13835" max="13835" width="35.140625" style="21" bestFit="1" customWidth="1"/>
    <col min="13836" max="13836" width="4.7109375" style="21" bestFit="1" customWidth="1"/>
    <col min="13837" max="14080" width="8.85546875" style="21"/>
    <col min="14081" max="14081" width="6.42578125" style="21" bestFit="1" customWidth="1"/>
    <col min="14082" max="14082" width="20.7109375" style="21" bestFit="1" customWidth="1"/>
    <col min="14083" max="14083" width="10" style="21" bestFit="1" customWidth="1"/>
    <col min="14084" max="14084" width="13.85546875" style="21" bestFit="1" customWidth="1"/>
    <col min="14085" max="14085" width="7.7109375" style="21" bestFit="1" customWidth="1"/>
    <col min="14086" max="14087" width="6" style="21" bestFit="1" customWidth="1"/>
    <col min="14088" max="14088" width="9.7109375" style="21" bestFit="1" customWidth="1"/>
    <col min="14089" max="14089" width="10.7109375" style="21" bestFit="1" customWidth="1"/>
    <col min="14090" max="14090" width="10" style="21" bestFit="1" customWidth="1"/>
    <col min="14091" max="14091" width="35.140625" style="21" bestFit="1" customWidth="1"/>
    <col min="14092" max="14092" width="4.7109375" style="21" bestFit="1" customWidth="1"/>
    <col min="14093" max="14336" width="8.85546875" style="21"/>
    <col min="14337" max="14337" width="6.42578125" style="21" bestFit="1" customWidth="1"/>
    <col min="14338" max="14338" width="20.7109375" style="21" bestFit="1" customWidth="1"/>
    <col min="14339" max="14339" width="10" style="21" bestFit="1" customWidth="1"/>
    <col min="14340" max="14340" width="13.85546875" style="21" bestFit="1" customWidth="1"/>
    <col min="14341" max="14341" width="7.7109375" style="21" bestFit="1" customWidth="1"/>
    <col min="14342" max="14343" width="6" style="21" bestFit="1" customWidth="1"/>
    <col min="14344" max="14344" width="9.7109375" style="21" bestFit="1" customWidth="1"/>
    <col min="14345" max="14345" width="10.7109375" style="21" bestFit="1" customWidth="1"/>
    <col min="14346" max="14346" width="10" style="21" bestFit="1" customWidth="1"/>
    <col min="14347" max="14347" width="35.140625" style="21" bestFit="1" customWidth="1"/>
    <col min="14348" max="14348" width="4.7109375" style="21" bestFit="1" customWidth="1"/>
    <col min="14349" max="14592" width="8.85546875" style="21"/>
    <col min="14593" max="14593" width="6.42578125" style="21" bestFit="1" customWidth="1"/>
    <col min="14594" max="14594" width="20.7109375" style="21" bestFit="1" customWidth="1"/>
    <col min="14595" max="14595" width="10" style="21" bestFit="1" customWidth="1"/>
    <col min="14596" max="14596" width="13.85546875" style="21" bestFit="1" customWidth="1"/>
    <col min="14597" max="14597" width="7.7109375" style="21" bestFit="1" customWidth="1"/>
    <col min="14598" max="14599" width="6" style="21" bestFit="1" customWidth="1"/>
    <col min="14600" max="14600" width="9.7109375" style="21" bestFit="1" customWidth="1"/>
    <col min="14601" max="14601" width="10.7109375" style="21" bestFit="1" customWidth="1"/>
    <col min="14602" max="14602" width="10" style="21" bestFit="1" customWidth="1"/>
    <col min="14603" max="14603" width="35.140625" style="21" bestFit="1" customWidth="1"/>
    <col min="14604" max="14604" width="4.7109375" style="21" bestFit="1" customWidth="1"/>
    <col min="14605" max="14848" width="8.85546875" style="21"/>
    <col min="14849" max="14849" width="6.42578125" style="21" bestFit="1" customWidth="1"/>
    <col min="14850" max="14850" width="20.7109375" style="21" bestFit="1" customWidth="1"/>
    <col min="14851" max="14851" width="10" style="21" bestFit="1" customWidth="1"/>
    <col min="14852" max="14852" width="13.85546875" style="21" bestFit="1" customWidth="1"/>
    <col min="14853" max="14853" width="7.7109375" style="21" bestFit="1" customWidth="1"/>
    <col min="14854" max="14855" width="6" style="21" bestFit="1" customWidth="1"/>
    <col min="14856" max="14856" width="9.7109375" style="21" bestFit="1" customWidth="1"/>
    <col min="14857" max="14857" width="10.7109375" style="21" bestFit="1" customWidth="1"/>
    <col min="14858" max="14858" width="10" style="21" bestFit="1" customWidth="1"/>
    <col min="14859" max="14859" width="35.140625" style="21" bestFit="1" customWidth="1"/>
    <col min="14860" max="14860" width="4.7109375" style="21" bestFit="1" customWidth="1"/>
    <col min="14861" max="15104" width="8.85546875" style="21"/>
    <col min="15105" max="15105" width="6.42578125" style="21" bestFit="1" customWidth="1"/>
    <col min="15106" max="15106" width="20.7109375" style="21" bestFit="1" customWidth="1"/>
    <col min="15107" max="15107" width="10" style="21" bestFit="1" customWidth="1"/>
    <col min="15108" max="15108" width="13.85546875" style="21" bestFit="1" customWidth="1"/>
    <col min="15109" max="15109" width="7.7109375" style="21" bestFit="1" customWidth="1"/>
    <col min="15110" max="15111" width="6" style="21" bestFit="1" customWidth="1"/>
    <col min="15112" max="15112" width="9.7109375" style="21" bestFit="1" customWidth="1"/>
    <col min="15113" max="15113" width="10.7109375" style="21" bestFit="1" customWidth="1"/>
    <col min="15114" max="15114" width="10" style="21" bestFit="1" customWidth="1"/>
    <col min="15115" max="15115" width="35.140625" style="21" bestFit="1" customWidth="1"/>
    <col min="15116" max="15116" width="4.7109375" style="21" bestFit="1" customWidth="1"/>
    <col min="15117" max="15360" width="8.85546875" style="21"/>
    <col min="15361" max="15361" width="6.42578125" style="21" bestFit="1" customWidth="1"/>
    <col min="15362" max="15362" width="20.7109375" style="21" bestFit="1" customWidth="1"/>
    <col min="15363" max="15363" width="10" style="21" bestFit="1" customWidth="1"/>
    <col min="15364" max="15364" width="13.85546875" style="21" bestFit="1" customWidth="1"/>
    <col min="15365" max="15365" width="7.7109375" style="21" bestFit="1" customWidth="1"/>
    <col min="15366" max="15367" width="6" style="21" bestFit="1" customWidth="1"/>
    <col min="15368" max="15368" width="9.7109375" style="21" bestFit="1" customWidth="1"/>
    <col min="15369" max="15369" width="10.7109375" style="21" bestFit="1" customWidth="1"/>
    <col min="15370" max="15370" width="10" style="21" bestFit="1" customWidth="1"/>
    <col min="15371" max="15371" width="35.140625" style="21" bestFit="1" customWidth="1"/>
    <col min="15372" max="15372" width="4.7109375" style="21" bestFit="1" customWidth="1"/>
    <col min="15373" max="15616" width="8.85546875" style="21"/>
    <col min="15617" max="15617" width="6.42578125" style="21" bestFit="1" customWidth="1"/>
    <col min="15618" max="15618" width="20.7109375" style="21" bestFit="1" customWidth="1"/>
    <col min="15619" max="15619" width="10" style="21" bestFit="1" customWidth="1"/>
    <col min="15620" max="15620" width="13.85546875" style="21" bestFit="1" customWidth="1"/>
    <col min="15621" max="15621" width="7.7109375" style="21" bestFit="1" customWidth="1"/>
    <col min="15622" max="15623" width="6" style="21" bestFit="1" customWidth="1"/>
    <col min="15624" max="15624" width="9.7109375" style="21" bestFit="1" customWidth="1"/>
    <col min="15625" max="15625" width="10.7109375" style="21" bestFit="1" customWidth="1"/>
    <col min="15626" max="15626" width="10" style="21" bestFit="1" customWidth="1"/>
    <col min="15627" max="15627" width="35.140625" style="21" bestFit="1" customWidth="1"/>
    <col min="15628" max="15628" width="4.7109375" style="21" bestFit="1" customWidth="1"/>
    <col min="15629" max="15872" width="8.85546875" style="21"/>
    <col min="15873" max="15873" width="6.42578125" style="21" bestFit="1" customWidth="1"/>
    <col min="15874" max="15874" width="20.7109375" style="21" bestFit="1" customWidth="1"/>
    <col min="15875" max="15875" width="10" style="21" bestFit="1" customWidth="1"/>
    <col min="15876" max="15876" width="13.85546875" style="21" bestFit="1" customWidth="1"/>
    <col min="15877" max="15877" width="7.7109375" style="21" bestFit="1" customWidth="1"/>
    <col min="15878" max="15879" width="6" style="21" bestFit="1" customWidth="1"/>
    <col min="15880" max="15880" width="9.7109375" style="21" bestFit="1" customWidth="1"/>
    <col min="15881" max="15881" width="10.7109375" style="21" bestFit="1" customWidth="1"/>
    <col min="15882" max="15882" width="10" style="21" bestFit="1" customWidth="1"/>
    <col min="15883" max="15883" width="35.140625" style="21" bestFit="1" customWidth="1"/>
    <col min="15884" max="15884" width="4.7109375" style="21" bestFit="1" customWidth="1"/>
    <col min="15885" max="16128" width="8.85546875" style="21"/>
    <col min="16129" max="16129" width="6.42578125" style="21" bestFit="1" customWidth="1"/>
    <col min="16130" max="16130" width="20.7109375" style="21" bestFit="1" customWidth="1"/>
    <col min="16131" max="16131" width="10" style="21" bestFit="1" customWidth="1"/>
    <col min="16132" max="16132" width="13.85546875" style="21" bestFit="1" customWidth="1"/>
    <col min="16133" max="16133" width="7.7109375" style="21" bestFit="1" customWidth="1"/>
    <col min="16134" max="16135" width="6" style="21" bestFit="1" customWidth="1"/>
    <col min="16136" max="16136" width="9.7109375" style="21" bestFit="1" customWidth="1"/>
    <col min="16137" max="16137" width="10.7109375" style="21" bestFit="1" customWidth="1"/>
    <col min="16138" max="16138" width="10" style="21" bestFit="1" customWidth="1"/>
    <col min="16139" max="16139" width="35.140625" style="21" bestFit="1" customWidth="1"/>
    <col min="16140" max="16140" width="4.7109375" style="21" bestFit="1" customWidth="1"/>
    <col min="16141" max="16384" width="8.85546875" style="21"/>
  </cols>
  <sheetData>
    <row r="1" spans="1:11">
      <c r="A1" s="1296" t="s">
        <v>1179</v>
      </c>
      <c r="B1" s="1296"/>
      <c r="C1" s="1296"/>
      <c r="D1" s="1296"/>
      <c r="E1" s="1296"/>
      <c r="F1" s="1296"/>
      <c r="G1" s="1296"/>
      <c r="H1" s="1296"/>
      <c r="I1" s="1296"/>
      <c r="J1" s="1296"/>
      <c r="K1" s="1296"/>
    </row>
    <row r="2" spans="1:11" s="22" customFormat="1" ht="75">
      <c r="A2" s="96" t="s">
        <v>44</v>
      </c>
      <c r="B2" s="96" t="s">
        <v>159</v>
      </c>
      <c r="C2" s="113" t="s">
        <v>450</v>
      </c>
      <c r="D2" s="113" t="s">
        <v>451</v>
      </c>
      <c r="E2" s="96" t="s">
        <v>368</v>
      </c>
      <c r="F2" s="96" t="s">
        <v>160</v>
      </c>
      <c r="G2" s="96" t="s">
        <v>445</v>
      </c>
      <c r="H2" s="113" t="s">
        <v>369</v>
      </c>
      <c r="I2" s="113" t="s">
        <v>370</v>
      </c>
      <c r="J2" s="113" t="s">
        <v>371</v>
      </c>
    </row>
    <row r="3" spans="1:11" s="22" customFormat="1">
      <c r="A3" s="119">
        <v>1</v>
      </c>
      <c r="B3" s="120" t="s">
        <v>464</v>
      </c>
      <c r="C3" s="121">
        <v>6339.44</v>
      </c>
      <c r="D3" s="122">
        <v>595908.754617</v>
      </c>
      <c r="E3" s="123">
        <v>11.779776521</v>
      </c>
      <c r="F3" s="124">
        <v>1.07</v>
      </c>
      <c r="G3" s="124">
        <v>0.54804299999999995</v>
      </c>
      <c r="H3" s="124">
        <v>2.99</v>
      </c>
      <c r="I3" s="124">
        <v>-7.1297199999999998</v>
      </c>
      <c r="J3" s="124">
        <v>0.02</v>
      </c>
    </row>
    <row r="4" spans="1:11" s="22" customFormat="1">
      <c r="A4" s="119">
        <v>2</v>
      </c>
      <c r="B4" s="120" t="s">
        <v>465</v>
      </c>
      <c r="C4" s="121">
        <v>550.91999999999996</v>
      </c>
      <c r="D4" s="122">
        <v>565976.14637800003</v>
      </c>
      <c r="E4" s="123">
        <v>11.188076142</v>
      </c>
      <c r="F4" s="124">
        <v>1.07</v>
      </c>
      <c r="G4" s="124">
        <v>0.70118100000000005</v>
      </c>
      <c r="H4" s="124">
        <v>2.64</v>
      </c>
      <c r="I4" s="124">
        <v>-3.1981899999999999</v>
      </c>
      <c r="J4" s="124">
        <v>0.02</v>
      </c>
    </row>
    <row r="5" spans="1:11" s="22" customFormat="1">
      <c r="A5" s="119">
        <v>3</v>
      </c>
      <c r="B5" s="120" t="s">
        <v>467</v>
      </c>
      <c r="C5" s="121">
        <v>2129.79</v>
      </c>
      <c r="D5" s="122">
        <v>454095.487379</v>
      </c>
      <c r="E5" s="123">
        <v>8.9764470129999996</v>
      </c>
      <c r="F5" s="124">
        <v>0.87</v>
      </c>
      <c r="G5" s="124">
        <v>0.48689300000000002</v>
      </c>
      <c r="H5" s="124">
        <v>2.56</v>
      </c>
      <c r="I5" s="124">
        <v>-1.2899620000000001</v>
      </c>
      <c r="J5" s="124">
        <v>0.02</v>
      </c>
    </row>
    <row r="6" spans="1:11" s="22" customFormat="1">
      <c r="A6" s="119">
        <v>4</v>
      </c>
      <c r="B6" s="120" t="s">
        <v>466</v>
      </c>
      <c r="C6" s="121">
        <v>360.04</v>
      </c>
      <c r="D6" s="122">
        <v>427873.97252499999</v>
      </c>
      <c r="E6" s="123">
        <v>8.4581066079999996</v>
      </c>
      <c r="F6" s="124">
        <v>1.22</v>
      </c>
      <c r="G6" s="124">
        <v>0.67197700000000005</v>
      </c>
      <c r="H6" s="124">
        <v>3.08</v>
      </c>
      <c r="I6" s="124">
        <v>-7.0683179999999997</v>
      </c>
      <c r="J6" s="124">
        <v>0.02</v>
      </c>
    </row>
    <row r="7" spans="1:11" s="22" customFormat="1">
      <c r="A7" s="119">
        <v>5</v>
      </c>
      <c r="B7" s="120" t="s">
        <v>468</v>
      </c>
      <c r="C7" s="121">
        <v>1380.91</v>
      </c>
      <c r="D7" s="122">
        <v>370534.83299999998</v>
      </c>
      <c r="E7" s="123">
        <v>7.3246407140000001</v>
      </c>
      <c r="F7" s="124">
        <v>1.42</v>
      </c>
      <c r="G7" s="124">
        <v>0.721244</v>
      </c>
      <c r="H7" s="124">
        <v>3.44</v>
      </c>
      <c r="I7" s="124">
        <v>0.41136800000000001</v>
      </c>
      <c r="J7" s="124">
        <v>0.02</v>
      </c>
    </row>
    <row r="8" spans="1:11" s="22" customFormat="1">
      <c r="A8" s="119">
        <v>6</v>
      </c>
      <c r="B8" s="120" t="s">
        <v>469</v>
      </c>
      <c r="C8" s="121">
        <v>375.24</v>
      </c>
      <c r="D8" s="122">
        <v>327062.37946199998</v>
      </c>
      <c r="E8" s="123">
        <v>6.46528803</v>
      </c>
      <c r="F8" s="124">
        <v>0.75</v>
      </c>
      <c r="G8" s="124">
        <v>0.46603800000000001</v>
      </c>
      <c r="H8" s="124">
        <v>2.25</v>
      </c>
      <c r="I8" s="124">
        <v>8.4558560000000007</v>
      </c>
      <c r="J8" s="124">
        <v>0.02</v>
      </c>
    </row>
    <row r="9" spans="1:11" s="22" customFormat="1">
      <c r="A9" s="119">
        <v>7</v>
      </c>
      <c r="B9" s="120" t="s">
        <v>470</v>
      </c>
      <c r="C9" s="121">
        <v>990.24</v>
      </c>
      <c r="D9" s="122">
        <v>223889.33214499999</v>
      </c>
      <c r="E9" s="123">
        <v>4.4257888100000002</v>
      </c>
      <c r="F9" s="124">
        <v>1.08</v>
      </c>
      <c r="G9" s="124">
        <v>0.58267400000000003</v>
      </c>
      <c r="H9" s="124">
        <v>2.92</v>
      </c>
      <c r="I9" s="124">
        <v>-14.129998000000001</v>
      </c>
      <c r="J9" s="124">
        <v>0.03</v>
      </c>
    </row>
    <row r="10" spans="1:11" s="22" customFormat="1">
      <c r="A10" s="119">
        <v>8</v>
      </c>
      <c r="B10" s="120" t="s">
        <v>471</v>
      </c>
      <c r="C10" s="121">
        <v>234.96</v>
      </c>
      <c r="D10" s="122">
        <v>202083.43191499999</v>
      </c>
      <c r="E10" s="123">
        <v>3.9947351809999998</v>
      </c>
      <c r="F10" s="124">
        <v>0.6</v>
      </c>
      <c r="G10" s="124">
        <v>0.32707599999999998</v>
      </c>
      <c r="H10" s="124">
        <v>2.1800000000000002</v>
      </c>
      <c r="I10" s="124">
        <v>-5.4375299999999998</v>
      </c>
      <c r="J10" s="124">
        <v>0.03</v>
      </c>
    </row>
    <row r="11" spans="1:11" s="22" customFormat="1">
      <c r="A11" s="119">
        <v>9</v>
      </c>
      <c r="B11" s="120" t="s">
        <v>472</v>
      </c>
      <c r="C11" s="121">
        <v>1230.51</v>
      </c>
      <c r="D11" s="122">
        <v>177566.482448</v>
      </c>
      <c r="E11" s="123">
        <v>3.5100902020000002</v>
      </c>
      <c r="F11" s="124">
        <v>0.63</v>
      </c>
      <c r="G11" s="124">
        <v>0.28303699999999998</v>
      </c>
      <c r="H11" s="124">
        <v>2.46</v>
      </c>
      <c r="I11" s="124">
        <v>-2.7511960000000002</v>
      </c>
      <c r="J11" s="124">
        <v>0.03</v>
      </c>
    </row>
    <row r="12" spans="1:11" s="22" customFormat="1">
      <c r="A12" s="119">
        <v>10</v>
      </c>
      <c r="B12" s="120" t="s">
        <v>473</v>
      </c>
      <c r="C12" s="121">
        <v>612.33000000000004</v>
      </c>
      <c r="D12" s="122">
        <v>174647.40155400001</v>
      </c>
      <c r="E12" s="123">
        <v>3.452386534</v>
      </c>
      <c r="F12" s="124">
        <v>1.58</v>
      </c>
      <c r="G12" s="124">
        <v>0.612371</v>
      </c>
      <c r="H12" s="124">
        <v>4.16</v>
      </c>
      <c r="I12" s="124">
        <v>6.9557500000000001</v>
      </c>
      <c r="J12" s="124">
        <v>0.03</v>
      </c>
    </row>
    <row r="13" spans="1:11" s="22" customFormat="1">
      <c r="A13" s="119">
        <v>11</v>
      </c>
      <c r="B13" s="125" t="s">
        <v>474</v>
      </c>
      <c r="C13" s="121">
        <v>280.85000000000002</v>
      </c>
      <c r="D13" s="122">
        <v>161174.43972900001</v>
      </c>
      <c r="E13" s="123">
        <v>3.1860563649999998</v>
      </c>
      <c r="F13" s="124">
        <v>0.94</v>
      </c>
      <c r="G13" s="124">
        <v>0.55062900000000004</v>
      </c>
      <c r="H13" s="124">
        <v>2.6</v>
      </c>
      <c r="I13" s="124">
        <v>3.6542270000000001</v>
      </c>
      <c r="J13" s="124">
        <v>0.03</v>
      </c>
    </row>
    <row r="14" spans="1:11" s="22" customFormat="1">
      <c r="A14" s="119">
        <v>12</v>
      </c>
      <c r="B14" s="125" t="s">
        <v>477</v>
      </c>
      <c r="C14" s="121">
        <v>2727.78</v>
      </c>
      <c r="D14" s="122">
        <v>132792.62182599999</v>
      </c>
      <c r="E14" s="123">
        <v>2.625011626</v>
      </c>
      <c r="F14" s="124">
        <v>0.77</v>
      </c>
      <c r="G14" s="124">
        <v>0.33169500000000002</v>
      </c>
      <c r="H14" s="124">
        <v>2.78</v>
      </c>
      <c r="I14" s="124">
        <v>8.6196739999999998</v>
      </c>
      <c r="J14" s="124">
        <v>0.03</v>
      </c>
    </row>
    <row r="15" spans="1:11" s="22" customFormat="1">
      <c r="A15" s="119">
        <v>13</v>
      </c>
      <c r="B15" s="125" t="s">
        <v>475</v>
      </c>
      <c r="C15" s="121">
        <v>120.52</v>
      </c>
      <c r="D15" s="122">
        <v>125568.163717</v>
      </c>
      <c r="E15" s="123">
        <v>2.4822003289999999</v>
      </c>
      <c r="F15" s="124">
        <v>1.5</v>
      </c>
      <c r="G15" s="124">
        <v>0.57708700000000002</v>
      </c>
      <c r="H15" s="124">
        <v>4.07</v>
      </c>
      <c r="I15" s="124">
        <v>-10.574961999999999</v>
      </c>
      <c r="J15" s="124">
        <v>0.02</v>
      </c>
    </row>
    <row r="16" spans="1:11" s="22" customFormat="1">
      <c r="A16" s="119">
        <v>14</v>
      </c>
      <c r="B16" s="125" t="s">
        <v>476</v>
      </c>
      <c r="C16" s="121">
        <v>95.92</v>
      </c>
      <c r="D16" s="121">
        <v>108528.889349</v>
      </c>
      <c r="E16" s="123">
        <v>2.1453721780000001</v>
      </c>
      <c r="F16" s="124">
        <v>0.7</v>
      </c>
      <c r="G16" s="124">
        <v>0.39032099999999997</v>
      </c>
      <c r="H16" s="124">
        <v>2.3199999999999998</v>
      </c>
      <c r="I16" s="124">
        <v>-12.917578000000001</v>
      </c>
      <c r="J16" s="124">
        <v>0.03</v>
      </c>
    </row>
    <row r="17" spans="1:10" s="22" customFormat="1">
      <c r="A17" s="119">
        <v>15</v>
      </c>
      <c r="B17" s="125" t="s">
        <v>478</v>
      </c>
      <c r="C17" s="121">
        <v>892.46</v>
      </c>
      <c r="D17" s="121">
        <v>108238.741952</v>
      </c>
      <c r="E17" s="123">
        <v>2.1396366160000002</v>
      </c>
      <c r="F17" s="124">
        <v>1.1299999999999999</v>
      </c>
      <c r="G17" s="124">
        <v>0.576546</v>
      </c>
      <c r="H17" s="124">
        <v>3.07</v>
      </c>
      <c r="I17" s="124">
        <v>2.6569600000000002</v>
      </c>
      <c r="J17" s="124">
        <v>0.02</v>
      </c>
    </row>
    <row r="18" spans="1:10" s="22" customFormat="1">
      <c r="A18" s="119">
        <v>16</v>
      </c>
      <c r="B18" s="125" t="s">
        <v>479</v>
      </c>
      <c r="C18" s="121">
        <v>542.73</v>
      </c>
      <c r="D18" s="121">
        <v>99314.711670000004</v>
      </c>
      <c r="E18" s="123">
        <v>1.9632285979999999</v>
      </c>
      <c r="F18" s="124">
        <v>0.76</v>
      </c>
      <c r="G18" s="124">
        <v>0.37290699999999999</v>
      </c>
      <c r="H18" s="124">
        <v>2.59</v>
      </c>
      <c r="I18" s="124">
        <v>-3.2771279999999998</v>
      </c>
      <c r="J18" s="124">
        <v>0.03</v>
      </c>
    </row>
    <row r="19" spans="1:10" s="22" customFormat="1">
      <c r="A19" s="119">
        <v>17</v>
      </c>
      <c r="B19" s="125" t="s">
        <v>480</v>
      </c>
      <c r="C19" s="121">
        <v>151.04</v>
      </c>
      <c r="D19" s="121">
        <v>95804.611583999998</v>
      </c>
      <c r="E19" s="123">
        <v>1.893841809</v>
      </c>
      <c r="F19" s="124">
        <v>1.0900000000000001</v>
      </c>
      <c r="G19" s="124">
        <v>0.54680700000000004</v>
      </c>
      <c r="H19" s="124">
        <v>3.05</v>
      </c>
      <c r="I19" s="124">
        <v>-5.7747359999999999</v>
      </c>
      <c r="J19" s="124">
        <v>0.03</v>
      </c>
    </row>
    <row r="20" spans="1:10" s="22" customFormat="1">
      <c r="A20" s="119">
        <v>18</v>
      </c>
      <c r="B20" s="125" t="s">
        <v>481</v>
      </c>
      <c r="C20" s="121">
        <v>621.6</v>
      </c>
      <c r="D20" s="121">
        <v>71784.823164000001</v>
      </c>
      <c r="E20" s="123">
        <v>1.419024587</v>
      </c>
      <c r="F20" s="124">
        <v>0.98</v>
      </c>
      <c r="G20" s="124">
        <v>0.40512300000000001</v>
      </c>
      <c r="H20" s="124">
        <v>3.17</v>
      </c>
      <c r="I20" s="124">
        <v>4.0660559999999997</v>
      </c>
      <c r="J20" s="124">
        <v>0.04</v>
      </c>
    </row>
    <row r="21" spans="1:10" s="22" customFormat="1">
      <c r="A21" s="119">
        <v>19</v>
      </c>
      <c r="B21" s="125" t="s">
        <v>484</v>
      </c>
      <c r="C21" s="121">
        <v>239.93</v>
      </c>
      <c r="D21" s="121">
        <v>63316.701752000001</v>
      </c>
      <c r="E21" s="123">
        <v>1.251628862</v>
      </c>
      <c r="F21" s="124">
        <v>0.61</v>
      </c>
      <c r="G21" s="124">
        <v>0.262932</v>
      </c>
      <c r="H21" s="124">
        <v>2.4700000000000002</v>
      </c>
      <c r="I21" s="124">
        <v>-0.99603200000000003</v>
      </c>
      <c r="J21" s="124">
        <v>0.04</v>
      </c>
    </row>
    <row r="22" spans="1:10" s="22" customFormat="1">
      <c r="A22" s="119">
        <v>20</v>
      </c>
      <c r="B22" s="120" t="s">
        <v>486</v>
      </c>
      <c r="C22" s="121">
        <v>288.64</v>
      </c>
      <c r="D22" s="121">
        <v>61480.712048000001</v>
      </c>
      <c r="E22" s="123">
        <v>1.2153354730000001</v>
      </c>
      <c r="F22" s="124">
        <v>0.89</v>
      </c>
      <c r="G22" s="124">
        <v>0.54611900000000002</v>
      </c>
      <c r="H22" s="124">
        <v>2.4900000000000002</v>
      </c>
      <c r="I22" s="124">
        <v>0.767316</v>
      </c>
      <c r="J22" s="124">
        <v>0.05</v>
      </c>
    </row>
    <row r="23" spans="1:10" s="22" customFormat="1">
      <c r="A23" s="119">
        <v>21</v>
      </c>
      <c r="B23" s="120" t="s">
        <v>482</v>
      </c>
      <c r="C23" s="121">
        <v>96.42</v>
      </c>
      <c r="D23" s="121">
        <v>60890.743829999999</v>
      </c>
      <c r="E23" s="123">
        <v>1.2036731279999999</v>
      </c>
      <c r="F23" s="124">
        <v>0.54</v>
      </c>
      <c r="G23" s="124">
        <v>0.28165000000000001</v>
      </c>
      <c r="H23" s="124">
        <v>2.1</v>
      </c>
      <c r="I23" s="124">
        <v>-7.1967420000000004</v>
      </c>
      <c r="J23" s="124">
        <v>0.06</v>
      </c>
    </row>
    <row r="24" spans="1:10" s="22" customFormat="1">
      <c r="A24" s="119">
        <v>22</v>
      </c>
      <c r="B24" s="120" t="s">
        <v>487</v>
      </c>
      <c r="C24" s="121">
        <v>483.79</v>
      </c>
      <c r="D24" s="121">
        <v>59515.887658</v>
      </c>
      <c r="E24" s="123">
        <v>1.1764953119999999</v>
      </c>
      <c r="F24" s="124">
        <v>0.85</v>
      </c>
      <c r="G24" s="124">
        <v>0.40836699999999998</v>
      </c>
      <c r="H24" s="124">
        <v>2.74</v>
      </c>
      <c r="I24" s="124">
        <v>-1.171573</v>
      </c>
      <c r="J24" s="124">
        <v>0.04</v>
      </c>
    </row>
    <row r="25" spans="1:10" s="22" customFormat="1">
      <c r="A25" s="119">
        <v>23</v>
      </c>
      <c r="B25" s="120" t="s">
        <v>483</v>
      </c>
      <c r="C25" s="121">
        <v>88.78</v>
      </c>
      <c r="D25" s="121">
        <v>59284.218394000003</v>
      </c>
      <c r="E25" s="123">
        <v>1.1719157309999999</v>
      </c>
      <c r="F25" s="124">
        <v>0.88</v>
      </c>
      <c r="G25" s="124">
        <v>0.47678999999999999</v>
      </c>
      <c r="H25" s="124">
        <v>2.64</v>
      </c>
      <c r="I25" s="124">
        <v>-9.3588509999999996</v>
      </c>
      <c r="J25" s="124">
        <v>0.04</v>
      </c>
    </row>
    <row r="26" spans="1:10" s="22" customFormat="1">
      <c r="A26" s="119">
        <v>24</v>
      </c>
      <c r="B26" s="126" t="s">
        <v>485</v>
      </c>
      <c r="C26" s="121">
        <v>83.14</v>
      </c>
      <c r="D26" s="121">
        <v>55818.758599000001</v>
      </c>
      <c r="E26" s="123">
        <v>1.1034113809999999</v>
      </c>
      <c r="F26" s="124">
        <v>0.46</v>
      </c>
      <c r="G26" s="124">
        <v>0.17604700000000001</v>
      </c>
      <c r="H26" s="124">
        <v>2.25</v>
      </c>
      <c r="I26" s="124">
        <v>-11.634096</v>
      </c>
      <c r="J26" s="124">
        <v>0.04</v>
      </c>
    </row>
    <row r="27" spans="1:10" s="22" customFormat="1">
      <c r="A27" s="119">
        <v>25</v>
      </c>
      <c r="B27" s="120" t="s">
        <v>488</v>
      </c>
      <c r="C27" s="121">
        <v>79.569999999999993</v>
      </c>
      <c r="D27" s="121">
        <v>52732.066951000001</v>
      </c>
      <c r="E27" s="123">
        <v>1.042394426</v>
      </c>
      <c r="F27" s="124">
        <v>1.35</v>
      </c>
      <c r="G27" s="124">
        <v>0.59227799999999997</v>
      </c>
      <c r="H27" s="124">
        <v>3.64</v>
      </c>
      <c r="I27" s="124">
        <v>-2.0669439999999999</v>
      </c>
      <c r="J27" s="124">
        <v>0.04</v>
      </c>
    </row>
    <row r="28" spans="1:10" s="22" customFormat="1">
      <c r="A28" s="119">
        <v>26</v>
      </c>
      <c r="B28" s="120" t="s">
        <v>492</v>
      </c>
      <c r="C28" s="121">
        <v>289.37</v>
      </c>
      <c r="D28" s="121">
        <v>52178.693076000003</v>
      </c>
      <c r="E28" s="123">
        <v>1.0314554680000001</v>
      </c>
      <c r="F28" s="124">
        <v>0.79</v>
      </c>
      <c r="G28" s="124">
        <v>0.428456</v>
      </c>
      <c r="H28" s="124">
        <v>2.5099999999999998</v>
      </c>
      <c r="I28" s="124">
        <v>16.242166999999998</v>
      </c>
      <c r="J28" s="124">
        <v>0.05</v>
      </c>
    </row>
    <row r="29" spans="1:10" s="22" customFormat="1">
      <c r="A29" s="119">
        <v>27</v>
      </c>
      <c r="B29" s="120" t="s">
        <v>489</v>
      </c>
      <c r="C29" s="121">
        <v>757.28</v>
      </c>
      <c r="D29" s="121">
        <v>48012.395719</v>
      </c>
      <c r="E29" s="123">
        <v>0.94909713500000004</v>
      </c>
      <c r="F29" s="124">
        <v>1.68</v>
      </c>
      <c r="G29" s="124">
        <v>0.397368</v>
      </c>
      <c r="H29" s="124">
        <v>5.51</v>
      </c>
      <c r="I29" s="124">
        <v>-5.4416440000000001</v>
      </c>
      <c r="J29" s="124">
        <v>0.03</v>
      </c>
    </row>
    <row r="30" spans="1:10" s="22" customFormat="1">
      <c r="A30" s="119">
        <v>28</v>
      </c>
      <c r="B30" s="120" t="s">
        <v>490</v>
      </c>
      <c r="C30" s="121">
        <v>5231.59</v>
      </c>
      <c r="D30" s="121">
        <v>47219.285021999996</v>
      </c>
      <c r="E30" s="123">
        <v>0.93341911899999996</v>
      </c>
      <c r="F30" s="124">
        <v>0.59</v>
      </c>
      <c r="G30" s="124">
        <v>0.30114099999999999</v>
      </c>
      <c r="H30" s="124">
        <v>2.21</v>
      </c>
      <c r="I30" s="124">
        <v>-2.9504739999999998</v>
      </c>
      <c r="J30" s="124">
        <v>0.06</v>
      </c>
    </row>
    <row r="31" spans="1:10" s="22" customFormat="1">
      <c r="A31" s="119">
        <v>29</v>
      </c>
      <c r="B31" s="120" t="s">
        <v>491</v>
      </c>
      <c r="C31" s="121">
        <v>9894.56</v>
      </c>
      <c r="D31" s="121">
        <v>43198.650772000001</v>
      </c>
      <c r="E31" s="123">
        <v>0.85394021799999997</v>
      </c>
      <c r="F31" s="124">
        <v>0.67</v>
      </c>
      <c r="G31" s="124">
        <v>0.325623</v>
      </c>
      <c r="H31" s="124">
        <v>2.4300000000000002</v>
      </c>
      <c r="I31" s="124">
        <v>-10.271903</v>
      </c>
      <c r="J31" s="124">
        <v>0.06</v>
      </c>
    </row>
    <row r="32" spans="1:10" s="22" customFormat="1">
      <c r="A32" s="119">
        <v>30</v>
      </c>
      <c r="B32" s="120" t="s">
        <v>493</v>
      </c>
      <c r="C32" s="121">
        <v>6290.14</v>
      </c>
      <c r="D32" s="121">
        <v>32250.803243999999</v>
      </c>
      <c r="E32" s="123">
        <v>0.63752588300000002</v>
      </c>
      <c r="F32" s="124">
        <v>1.03</v>
      </c>
      <c r="G32" s="124">
        <v>0.37295600000000001</v>
      </c>
      <c r="H32" s="124">
        <v>3.48</v>
      </c>
      <c r="I32" s="124">
        <v>-5.1502140000000001</v>
      </c>
      <c r="J32" s="124">
        <v>0.06</v>
      </c>
    </row>
    <row r="33" spans="1:10" s="22" customFormat="1">
      <c r="A33" s="1278" t="s">
        <v>494</v>
      </c>
      <c r="B33" s="1279"/>
      <c r="C33" s="1279"/>
      <c r="D33" s="1279"/>
      <c r="E33" s="1279"/>
      <c r="F33" s="1279"/>
      <c r="G33" s="1279"/>
      <c r="H33" s="1279"/>
      <c r="I33" s="1279"/>
      <c r="J33" s="1280"/>
    </row>
    <row r="34" spans="1:10" s="22" customFormat="1">
      <c r="A34" s="1278" t="s">
        <v>449</v>
      </c>
      <c r="B34" s="1279"/>
      <c r="C34" s="1279"/>
      <c r="D34" s="1279"/>
      <c r="E34" s="1279"/>
      <c r="F34" s="1279"/>
      <c r="G34" s="1279"/>
      <c r="H34" s="1279"/>
      <c r="I34" s="1279"/>
      <c r="J34" s="1280"/>
    </row>
    <row r="35" spans="1:10" s="22" customFormat="1">
      <c r="A35" s="1278" t="s">
        <v>161</v>
      </c>
      <c r="B35" s="1279"/>
      <c r="C35" s="1279"/>
      <c r="D35" s="1279"/>
      <c r="E35" s="1279"/>
      <c r="F35" s="1279"/>
      <c r="G35" s="1279"/>
      <c r="H35" s="1279"/>
      <c r="I35" s="1279"/>
      <c r="J35" s="1280"/>
    </row>
    <row r="36" spans="1:10" s="22" customFormat="1" ht="31.5" customHeight="1">
      <c r="A36" s="1278" t="s">
        <v>398</v>
      </c>
      <c r="B36" s="1279"/>
      <c r="C36" s="1279"/>
      <c r="D36" s="1279"/>
      <c r="E36" s="1279"/>
      <c r="F36" s="1279"/>
      <c r="G36" s="1279"/>
      <c r="H36" s="1279"/>
      <c r="I36" s="1279"/>
      <c r="J36" s="1280"/>
    </row>
    <row r="37" spans="1:10" s="22" customFormat="1">
      <c r="A37" s="1278" t="s">
        <v>155</v>
      </c>
      <c r="B37" s="1279"/>
      <c r="C37" s="1279"/>
      <c r="D37" s="1279"/>
      <c r="E37" s="1279"/>
      <c r="F37" s="1279"/>
      <c r="G37" s="1279"/>
      <c r="H37" s="1279"/>
      <c r="I37" s="1279"/>
      <c r="J37" s="1280"/>
    </row>
  </sheetData>
  <mergeCells count="6">
    <mergeCell ref="A37:J37"/>
    <mergeCell ref="A1:K1"/>
    <mergeCell ref="A33:J33"/>
    <mergeCell ref="A34:J34"/>
    <mergeCell ref="A35:J35"/>
    <mergeCell ref="A36:J3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59"/>
  <sheetViews>
    <sheetView topLeftCell="A10" workbookViewId="0">
      <selection activeCell="B60" sqref="B60"/>
    </sheetView>
  </sheetViews>
  <sheetFormatPr defaultColWidth="8.85546875" defaultRowHeight="15"/>
  <cols>
    <col min="1" max="1" width="6.42578125" style="21" bestFit="1" customWidth="1"/>
    <col min="2" max="2" width="53" style="21" customWidth="1"/>
    <col min="3" max="3" width="11.140625" style="21" customWidth="1"/>
    <col min="4" max="4" width="13.140625" style="21" bestFit="1" customWidth="1"/>
    <col min="5" max="10" width="11.140625" style="21" customWidth="1"/>
    <col min="11" max="12" width="7.28515625" style="21" customWidth="1"/>
    <col min="13" max="252" width="8.85546875" style="21"/>
    <col min="253" max="253" width="6.42578125" style="21" bestFit="1" customWidth="1"/>
    <col min="254" max="254" width="20.7109375" style="21" bestFit="1" customWidth="1"/>
    <col min="255" max="255" width="14.7109375" style="21" bestFit="1" customWidth="1"/>
    <col min="256" max="256" width="13.85546875" style="21" bestFit="1" customWidth="1"/>
    <col min="257" max="257" width="7.7109375" style="21" bestFit="1" customWidth="1"/>
    <col min="258" max="259" width="6" style="21" bestFit="1" customWidth="1"/>
    <col min="260" max="260" width="9.7109375" style="21" bestFit="1" customWidth="1"/>
    <col min="261" max="261" width="10.7109375" style="21" bestFit="1" customWidth="1"/>
    <col min="262" max="262" width="10" style="21" bestFit="1" customWidth="1"/>
    <col min="263" max="263" width="30.42578125" style="21" bestFit="1" customWidth="1"/>
    <col min="264" max="264" width="4.7109375" style="21" bestFit="1" customWidth="1"/>
    <col min="265" max="508" width="8.85546875" style="21"/>
    <col min="509" max="509" width="6.42578125" style="21" bestFit="1" customWidth="1"/>
    <col min="510" max="510" width="20.7109375" style="21" bestFit="1" customWidth="1"/>
    <col min="511" max="511" width="14.7109375" style="21" bestFit="1" customWidth="1"/>
    <col min="512" max="512" width="13.85546875" style="21" bestFit="1" customWidth="1"/>
    <col min="513" max="513" width="7.7109375" style="21" bestFit="1" customWidth="1"/>
    <col min="514" max="515" width="6" style="21" bestFit="1" customWidth="1"/>
    <col min="516" max="516" width="9.7109375" style="21" bestFit="1" customWidth="1"/>
    <col min="517" max="517" width="10.7109375" style="21" bestFit="1" customWidth="1"/>
    <col min="518" max="518" width="10" style="21" bestFit="1" customWidth="1"/>
    <col min="519" max="519" width="30.42578125" style="21" bestFit="1" customWidth="1"/>
    <col min="520" max="520" width="4.7109375" style="21" bestFit="1" customWidth="1"/>
    <col min="521" max="764" width="8.85546875" style="21"/>
    <col min="765" max="765" width="6.42578125" style="21" bestFit="1" customWidth="1"/>
    <col min="766" max="766" width="20.7109375" style="21" bestFit="1" customWidth="1"/>
    <col min="767" max="767" width="14.7109375" style="21" bestFit="1" customWidth="1"/>
    <col min="768" max="768" width="13.85546875" style="21" bestFit="1" customWidth="1"/>
    <col min="769" max="769" width="7.7109375" style="21" bestFit="1" customWidth="1"/>
    <col min="770" max="771" width="6" style="21" bestFit="1" customWidth="1"/>
    <col min="772" max="772" width="9.7109375" style="21" bestFit="1" customWidth="1"/>
    <col min="773" max="773" width="10.7109375" style="21" bestFit="1" customWidth="1"/>
    <col min="774" max="774" width="10" style="21" bestFit="1" customWidth="1"/>
    <col min="775" max="775" width="30.42578125" style="21" bestFit="1" customWidth="1"/>
    <col min="776" max="776" width="4.7109375" style="21" bestFit="1" customWidth="1"/>
    <col min="777" max="1020" width="8.85546875" style="21"/>
    <col min="1021" max="1021" width="6.42578125" style="21" bestFit="1" customWidth="1"/>
    <col min="1022" max="1022" width="20.7109375" style="21" bestFit="1" customWidth="1"/>
    <col min="1023" max="1023" width="14.7109375" style="21" bestFit="1" customWidth="1"/>
    <col min="1024" max="1024" width="13.85546875" style="21" bestFit="1" customWidth="1"/>
    <col min="1025" max="1025" width="7.7109375" style="21" bestFit="1" customWidth="1"/>
    <col min="1026" max="1027" width="6" style="21" bestFit="1" customWidth="1"/>
    <col min="1028" max="1028" width="9.7109375" style="21" bestFit="1" customWidth="1"/>
    <col min="1029" max="1029" width="10.7109375" style="21" bestFit="1" customWidth="1"/>
    <col min="1030" max="1030" width="10" style="21" bestFit="1" customWidth="1"/>
    <col min="1031" max="1031" width="30.42578125" style="21" bestFit="1" customWidth="1"/>
    <col min="1032" max="1032" width="4.7109375" style="21" bestFit="1" customWidth="1"/>
    <col min="1033" max="1276" width="8.85546875" style="21"/>
    <col min="1277" max="1277" width="6.42578125" style="21" bestFit="1" customWidth="1"/>
    <col min="1278" max="1278" width="20.7109375" style="21" bestFit="1" customWidth="1"/>
    <col min="1279" max="1279" width="14.7109375" style="21" bestFit="1" customWidth="1"/>
    <col min="1280" max="1280" width="13.85546875" style="21" bestFit="1" customWidth="1"/>
    <col min="1281" max="1281" width="7.7109375" style="21" bestFit="1" customWidth="1"/>
    <col min="1282" max="1283" width="6" style="21" bestFit="1" customWidth="1"/>
    <col min="1284" max="1284" width="9.7109375" style="21" bestFit="1" customWidth="1"/>
    <col min="1285" max="1285" width="10.7109375" style="21" bestFit="1" customWidth="1"/>
    <col min="1286" max="1286" width="10" style="21" bestFit="1" customWidth="1"/>
    <col min="1287" max="1287" width="30.42578125" style="21" bestFit="1" customWidth="1"/>
    <col min="1288" max="1288" width="4.7109375" style="21" bestFit="1" customWidth="1"/>
    <col min="1289" max="1532" width="8.85546875" style="21"/>
    <col min="1533" max="1533" width="6.42578125" style="21" bestFit="1" customWidth="1"/>
    <col min="1534" max="1534" width="20.7109375" style="21" bestFit="1" customWidth="1"/>
    <col min="1535" max="1535" width="14.7109375" style="21" bestFit="1" customWidth="1"/>
    <col min="1536" max="1536" width="13.85546875" style="21" bestFit="1" customWidth="1"/>
    <col min="1537" max="1537" width="7.7109375" style="21" bestFit="1" customWidth="1"/>
    <col min="1538" max="1539" width="6" style="21" bestFit="1" customWidth="1"/>
    <col min="1540" max="1540" width="9.7109375" style="21" bestFit="1" customWidth="1"/>
    <col min="1541" max="1541" width="10.7109375" style="21" bestFit="1" customWidth="1"/>
    <col min="1542" max="1542" width="10" style="21" bestFit="1" customWidth="1"/>
    <col min="1543" max="1543" width="30.42578125" style="21" bestFit="1" customWidth="1"/>
    <col min="1544" max="1544" width="4.7109375" style="21" bestFit="1" customWidth="1"/>
    <col min="1545" max="1788" width="8.85546875" style="21"/>
    <col min="1789" max="1789" width="6.42578125" style="21" bestFit="1" customWidth="1"/>
    <col min="1790" max="1790" width="20.7109375" style="21" bestFit="1" customWidth="1"/>
    <col min="1791" max="1791" width="14.7109375" style="21" bestFit="1" customWidth="1"/>
    <col min="1792" max="1792" width="13.85546875" style="21" bestFit="1" customWidth="1"/>
    <col min="1793" max="1793" width="7.7109375" style="21" bestFit="1" customWidth="1"/>
    <col min="1794" max="1795" width="6" style="21" bestFit="1" customWidth="1"/>
    <col min="1796" max="1796" width="9.7109375" style="21" bestFit="1" customWidth="1"/>
    <col min="1797" max="1797" width="10.7109375" style="21" bestFit="1" customWidth="1"/>
    <col min="1798" max="1798" width="10" style="21" bestFit="1" customWidth="1"/>
    <col min="1799" max="1799" width="30.42578125" style="21" bestFit="1" customWidth="1"/>
    <col min="1800" max="1800" width="4.7109375" style="21" bestFit="1" customWidth="1"/>
    <col min="1801" max="2044" width="8.85546875" style="21"/>
    <col min="2045" max="2045" width="6.42578125" style="21" bestFit="1" customWidth="1"/>
    <col min="2046" max="2046" width="20.7109375" style="21" bestFit="1" customWidth="1"/>
    <col min="2047" max="2047" width="14.7109375" style="21" bestFit="1" customWidth="1"/>
    <col min="2048" max="2048" width="13.85546875" style="21" bestFit="1" customWidth="1"/>
    <col min="2049" max="2049" width="7.7109375" style="21" bestFit="1" customWidth="1"/>
    <col min="2050" max="2051" width="6" style="21" bestFit="1" customWidth="1"/>
    <col min="2052" max="2052" width="9.7109375" style="21" bestFit="1" customWidth="1"/>
    <col min="2053" max="2053" width="10.7109375" style="21" bestFit="1" customWidth="1"/>
    <col min="2054" max="2054" width="10" style="21" bestFit="1" customWidth="1"/>
    <col min="2055" max="2055" width="30.42578125" style="21" bestFit="1" customWidth="1"/>
    <col min="2056" max="2056" width="4.7109375" style="21" bestFit="1" customWidth="1"/>
    <col min="2057" max="2300" width="8.85546875" style="21"/>
    <col min="2301" max="2301" width="6.42578125" style="21" bestFit="1" customWidth="1"/>
    <col min="2302" max="2302" width="20.7109375" style="21" bestFit="1" customWidth="1"/>
    <col min="2303" max="2303" width="14.7109375" style="21" bestFit="1" customWidth="1"/>
    <col min="2304" max="2304" width="13.85546875" style="21" bestFit="1" customWidth="1"/>
    <col min="2305" max="2305" width="7.7109375" style="21" bestFit="1" customWidth="1"/>
    <col min="2306" max="2307" width="6" style="21" bestFit="1" customWidth="1"/>
    <col min="2308" max="2308" width="9.7109375" style="21" bestFit="1" customWidth="1"/>
    <col min="2309" max="2309" width="10.7109375" style="21" bestFit="1" customWidth="1"/>
    <col min="2310" max="2310" width="10" style="21" bestFit="1" customWidth="1"/>
    <col min="2311" max="2311" width="30.42578125" style="21" bestFit="1" customWidth="1"/>
    <col min="2312" max="2312" width="4.7109375" style="21" bestFit="1" customWidth="1"/>
    <col min="2313" max="2556" width="8.85546875" style="21"/>
    <col min="2557" max="2557" width="6.42578125" style="21" bestFit="1" customWidth="1"/>
    <col min="2558" max="2558" width="20.7109375" style="21" bestFit="1" customWidth="1"/>
    <col min="2559" max="2559" width="14.7109375" style="21" bestFit="1" customWidth="1"/>
    <col min="2560" max="2560" width="13.85546875" style="21" bestFit="1" customWidth="1"/>
    <col min="2561" max="2561" width="7.7109375" style="21" bestFit="1" customWidth="1"/>
    <col min="2562" max="2563" width="6" style="21" bestFit="1" customWidth="1"/>
    <col min="2564" max="2564" width="9.7109375" style="21" bestFit="1" customWidth="1"/>
    <col min="2565" max="2565" width="10.7109375" style="21" bestFit="1" customWidth="1"/>
    <col min="2566" max="2566" width="10" style="21" bestFit="1" customWidth="1"/>
    <col min="2567" max="2567" width="30.42578125" style="21" bestFit="1" customWidth="1"/>
    <col min="2568" max="2568" width="4.7109375" style="21" bestFit="1" customWidth="1"/>
    <col min="2569" max="2812" width="8.85546875" style="21"/>
    <col min="2813" max="2813" width="6.42578125" style="21" bestFit="1" customWidth="1"/>
    <col min="2814" max="2814" width="20.7109375" style="21" bestFit="1" customWidth="1"/>
    <col min="2815" max="2815" width="14.7109375" style="21" bestFit="1" customWidth="1"/>
    <col min="2816" max="2816" width="13.85546875" style="21" bestFit="1" customWidth="1"/>
    <col min="2817" max="2817" width="7.7109375" style="21" bestFit="1" customWidth="1"/>
    <col min="2818" max="2819" width="6" style="21" bestFit="1" customWidth="1"/>
    <col min="2820" max="2820" width="9.7109375" style="21" bestFit="1" customWidth="1"/>
    <col min="2821" max="2821" width="10.7109375" style="21" bestFit="1" customWidth="1"/>
    <col min="2822" max="2822" width="10" style="21" bestFit="1" customWidth="1"/>
    <col min="2823" max="2823" width="30.42578125" style="21" bestFit="1" customWidth="1"/>
    <col min="2824" max="2824" width="4.7109375" style="21" bestFit="1" customWidth="1"/>
    <col min="2825" max="3068" width="8.85546875" style="21"/>
    <col min="3069" max="3069" width="6.42578125" style="21" bestFit="1" customWidth="1"/>
    <col min="3070" max="3070" width="20.7109375" style="21" bestFit="1" customWidth="1"/>
    <col min="3071" max="3071" width="14.7109375" style="21" bestFit="1" customWidth="1"/>
    <col min="3072" max="3072" width="13.85546875" style="21" bestFit="1" customWidth="1"/>
    <col min="3073" max="3073" width="7.7109375" style="21" bestFit="1" customWidth="1"/>
    <col min="3074" max="3075" width="6" style="21" bestFit="1" customWidth="1"/>
    <col min="3076" max="3076" width="9.7109375" style="21" bestFit="1" customWidth="1"/>
    <col min="3077" max="3077" width="10.7109375" style="21" bestFit="1" customWidth="1"/>
    <col min="3078" max="3078" width="10" style="21" bestFit="1" customWidth="1"/>
    <col min="3079" max="3079" width="30.42578125" style="21" bestFit="1" customWidth="1"/>
    <col min="3080" max="3080" width="4.7109375" style="21" bestFit="1" customWidth="1"/>
    <col min="3081" max="3324" width="8.85546875" style="21"/>
    <col min="3325" max="3325" width="6.42578125" style="21" bestFit="1" customWidth="1"/>
    <col min="3326" max="3326" width="20.7109375" style="21" bestFit="1" customWidth="1"/>
    <col min="3327" max="3327" width="14.7109375" style="21" bestFit="1" customWidth="1"/>
    <col min="3328" max="3328" width="13.85546875" style="21" bestFit="1" customWidth="1"/>
    <col min="3329" max="3329" width="7.7109375" style="21" bestFit="1" customWidth="1"/>
    <col min="3330" max="3331" width="6" style="21" bestFit="1" customWidth="1"/>
    <col min="3332" max="3332" width="9.7109375" style="21" bestFit="1" customWidth="1"/>
    <col min="3333" max="3333" width="10.7109375" style="21" bestFit="1" customWidth="1"/>
    <col min="3334" max="3334" width="10" style="21" bestFit="1" customWidth="1"/>
    <col min="3335" max="3335" width="30.42578125" style="21" bestFit="1" customWidth="1"/>
    <col min="3336" max="3336" width="4.7109375" style="21" bestFit="1" customWidth="1"/>
    <col min="3337" max="3580" width="8.85546875" style="21"/>
    <col min="3581" max="3581" width="6.42578125" style="21" bestFit="1" customWidth="1"/>
    <col min="3582" max="3582" width="20.7109375" style="21" bestFit="1" customWidth="1"/>
    <col min="3583" max="3583" width="14.7109375" style="21" bestFit="1" customWidth="1"/>
    <col min="3584" max="3584" width="13.85546875" style="21" bestFit="1" customWidth="1"/>
    <col min="3585" max="3585" width="7.7109375" style="21" bestFit="1" customWidth="1"/>
    <col min="3586" max="3587" width="6" style="21" bestFit="1" customWidth="1"/>
    <col min="3588" max="3588" width="9.7109375" style="21" bestFit="1" customWidth="1"/>
    <col min="3589" max="3589" width="10.7109375" style="21" bestFit="1" customWidth="1"/>
    <col min="3590" max="3590" width="10" style="21" bestFit="1" customWidth="1"/>
    <col min="3591" max="3591" width="30.42578125" style="21" bestFit="1" customWidth="1"/>
    <col min="3592" max="3592" width="4.7109375" style="21" bestFit="1" customWidth="1"/>
    <col min="3593" max="3836" width="8.85546875" style="21"/>
    <col min="3837" max="3837" width="6.42578125" style="21" bestFit="1" customWidth="1"/>
    <col min="3838" max="3838" width="20.7109375" style="21" bestFit="1" customWidth="1"/>
    <col min="3839" max="3839" width="14.7109375" style="21" bestFit="1" customWidth="1"/>
    <col min="3840" max="3840" width="13.85546875" style="21" bestFit="1" customWidth="1"/>
    <col min="3841" max="3841" width="7.7109375" style="21" bestFit="1" customWidth="1"/>
    <col min="3842" max="3843" width="6" style="21" bestFit="1" customWidth="1"/>
    <col min="3844" max="3844" width="9.7109375" style="21" bestFit="1" customWidth="1"/>
    <col min="3845" max="3845" width="10.7109375" style="21" bestFit="1" customWidth="1"/>
    <col min="3846" max="3846" width="10" style="21" bestFit="1" customWidth="1"/>
    <col min="3847" max="3847" width="30.42578125" style="21" bestFit="1" customWidth="1"/>
    <col min="3848" max="3848" width="4.7109375" style="21" bestFit="1" customWidth="1"/>
    <col min="3849" max="4092" width="8.85546875" style="21"/>
    <col min="4093" max="4093" width="6.42578125" style="21" bestFit="1" customWidth="1"/>
    <col min="4094" max="4094" width="20.7109375" style="21" bestFit="1" customWidth="1"/>
    <col min="4095" max="4095" width="14.7109375" style="21" bestFit="1" customWidth="1"/>
    <col min="4096" max="4096" width="13.85546875" style="21" bestFit="1" customWidth="1"/>
    <col min="4097" max="4097" width="7.7109375" style="21" bestFit="1" customWidth="1"/>
    <col min="4098" max="4099" width="6" style="21" bestFit="1" customWidth="1"/>
    <col min="4100" max="4100" width="9.7109375" style="21" bestFit="1" customWidth="1"/>
    <col min="4101" max="4101" width="10.7109375" style="21" bestFit="1" customWidth="1"/>
    <col min="4102" max="4102" width="10" style="21" bestFit="1" customWidth="1"/>
    <col min="4103" max="4103" width="30.42578125" style="21" bestFit="1" customWidth="1"/>
    <col min="4104" max="4104" width="4.7109375" style="21" bestFit="1" customWidth="1"/>
    <col min="4105" max="4348" width="8.85546875" style="21"/>
    <col min="4349" max="4349" width="6.42578125" style="21" bestFit="1" customWidth="1"/>
    <col min="4350" max="4350" width="20.7109375" style="21" bestFit="1" customWidth="1"/>
    <col min="4351" max="4351" width="14.7109375" style="21" bestFit="1" customWidth="1"/>
    <col min="4352" max="4352" width="13.85546875" style="21" bestFit="1" customWidth="1"/>
    <col min="4353" max="4353" width="7.7109375" style="21" bestFit="1" customWidth="1"/>
    <col min="4354" max="4355" width="6" style="21" bestFit="1" customWidth="1"/>
    <col min="4356" max="4356" width="9.7109375" style="21" bestFit="1" customWidth="1"/>
    <col min="4357" max="4357" width="10.7109375" style="21" bestFit="1" customWidth="1"/>
    <col min="4358" max="4358" width="10" style="21" bestFit="1" customWidth="1"/>
    <col min="4359" max="4359" width="30.42578125" style="21" bestFit="1" customWidth="1"/>
    <col min="4360" max="4360" width="4.7109375" style="21" bestFit="1" customWidth="1"/>
    <col min="4361" max="4604" width="8.85546875" style="21"/>
    <col min="4605" max="4605" width="6.42578125" style="21" bestFit="1" customWidth="1"/>
    <col min="4606" max="4606" width="20.7109375" style="21" bestFit="1" customWidth="1"/>
    <col min="4607" max="4607" width="14.7109375" style="21" bestFit="1" customWidth="1"/>
    <col min="4608" max="4608" width="13.85546875" style="21" bestFit="1" customWidth="1"/>
    <col min="4609" max="4609" width="7.7109375" style="21" bestFit="1" customWidth="1"/>
    <col min="4610" max="4611" width="6" style="21" bestFit="1" customWidth="1"/>
    <col min="4612" max="4612" width="9.7109375" style="21" bestFit="1" customWidth="1"/>
    <col min="4613" max="4613" width="10.7109375" style="21" bestFit="1" customWidth="1"/>
    <col min="4614" max="4614" width="10" style="21" bestFit="1" customWidth="1"/>
    <col min="4615" max="4615" width="30.42578125" style="21" bestFit="1" customWidth="1"/>
    <col min="4616" max="4616" width="4.7109375" style="21" bestFit="1" customWidth="1"/>
    <col min="4617" max="4860" width="8.85546875" style="21"/>
    <col min="4861" max="4861" width="6.42578125" style="21" bestFit="1" customWidth="1"/>
    <col min="4862" max="4862" width="20.7109375" style="21" bestFit="1" customWidth="1"/>
    <col min="4863" max="4863" width="14.7109375" style="21" bestFit="1" customWidth="1"/>
    <col min="4864" max="4864" width="13.85546875" style="21" bestFit="1" customWidth="1"/>
    <col min="4865" max="4865" width="7.7109375" style="21" bestFit="1" customWidth="1"/>
    <col min="4866" max="4867" width="6" style="21" bestFit="1" customWidth="1"/>
    <col min="4868" max="4868" width="9.7109375" style="21" bestFit="1" customWidth="1"/>
    <col min="4869" max="4869" width="10.7109375" style="21" bestFit="1" customWidth="1"/>
    <col min="4870" max="4870" width="10" style="21" bestFit="1" customWidth="1"/>
    <col min="4871" max="4871" width="30.42578125" style="21" bestFit="1" customWidth="1"/>
    <col min="4872" max="4872" width="4.7109375" style="21" bestFit="1" customWidth="1"/>
    <col min="4873" max="5116" width="8.85546875" style="21"/>
    <col min="5117" max="5117" width="6.42578125" style="21" bestFit="1" customWidth="1"/>
    <col min="5118" max="5118" width="20.7109375" style="21" bestFit="1" customWidth="1"/>
    <col min="5119" max="5119" width="14.7109375" style="21" bestFit="1" customWidth="1"/>
    <col min="5120" max="5120" width="13.85546875" style="21" bestFit="1" customWidth="1"/>
    <col min="5121" max="5121" width="7.7109375" style="21" bestFit="1" customWidth="1"/>
    <col min="5122" max="5123" width="6" style="21" bestFit="1" customWidth="1"/>
    <col min="5124" max="5124" width="9.7109375" style="21" bestFit="1" customWidth="1"/>
    <col min="5125" max="5125" width="10.7109375" style="21" bestFit="1" customWidth="1"/>
    <col min="5126" max="5126" width="10" style="21" bestFit="1" customWidth="1"/>
    <col min="5127" max="5127" width="30.42578125" style="21" bestFit="1" customWidth="1"/>
    <col min="5128" max="5128" width="4.7109375" style="21" bestFit="1" customWidth="1"/>
    <col min="5129" max="5372" width="8.85546875" style="21"/>
    <col min="5373" max="5373" width="6.42578125" style="21" bestFit="1" customWidth="1"/>
    <col min="5374" max="5374" width="20.7109375" style="21" bestFit="1" customWidth="1"/>
    <col min="5375" max="5375" width="14.7109375" style="21" bestFit="1" customWidth="1"/>
    <col min="5376" max="5376" width="13.85546875" style="21" bestFit="1" customWidth="1"/>
    <col min="5377" max="5377" width="7.7109375" style="21" bestFit="1" customWidth="1"/>
    <col min="5378" max="5379" width="6" style="21" bestFit="1" customWidth="1"/>
    <col min="5380" max="5380" width="9.7109375" style="21" bestFit="1" customWidth="1"/>
    <col min="5381" max="5381" width="10.7109375" style="21" bestFit="1" customWidth="1"/>
    <col min="5382" max="5382" width="10" style="21" bestFit="1" customWidth="1"/>
    <col min="5383" max="5383" width="30.42578125" style="21" bestFit="1" customWidth="1"/>
    <col min="5384" max="5384" width="4.7109375" style="21" bestFit="1" customWidth="1"/>
    <col min="5385" max="5628" width="8.85546875" style="21"/>
    <col min="5629" max="5629" width="6.42578125" style="21" bestFit="1" customWidth="1"/>
    <col min="5630" max="5630" width="20.7109375" style="21" bestFit="1" customWidth="1"/>
    <col min="5631" max="5631" width="14.7109375" style="21" bestFit="1" customWidth="1"/>
    <col min="5632" max="5632" width="13.85546875" style="21" bestFit="1" customWidth="1"/>
    <col min="5633" max="5633" width="7.7109375" style="21" bestFit="1" customWidth="1"/>
    <col min="5634" max="5635" width="6" style="21" bestFit="1" customWidth="1"/>
    <col min="5636" max="5636" width="9.7109375" style="21" bestFit="1" customWidth="1"/>
    <col min="5637" max="5637" width="10.7109375" style="21" bestFit="1" customWidth="1"/>
    <col min="5638" max="5638" width="10" style="21" bestFit="1" customWidth="1"/>
    <col min="5639" max="5639" width="30.42578125" style="21" bestFit="1" customWidth="1"/>
    <col min="5640" max="5640" width="4.7109375" style="21" bestFit="1" customWidth="1"/>
    <col min="5641" max="5884" width="8.85546875" style="21"/>
    <col min="5885" max="5885" width="6.42578125" style="21" bestFit="1" customWidth="1"/>
    <col min="5886" max="5886" width="20.7109375" style="21" bestFit="1" customWidth="1"/>
    <col min="5887" max="5887" width="14.7109375" style="21" bestFit="1" customWidth="1"/>
    <col min="5888" max="5888" width="13.85546875" style="21" bestFit="1" customWidth="1"/>
    <col min="5889" max="5889" width="7.7109375" style="21" bestFit="1" customWidth="1"/>
    <col min="5890" max="5891" width="6" style="21" bestFit="1" customWidth="1"/>
    <col min="5892" max="5892" width="9.7109375" style="21" bestFit="1" customWidth="1"/>
    <col min="5893" max="5893" width="10.7109375" style="21" bestFit="1" customWidth="1"/>
    <col min="5894" max="5894" width="10" style="21" bestFit="1" customWidth="1"/>
    <col min="5895" max="5895" width="30.42578125" style="21" bestFit="1" customWidth="1"/>
    <col min="5896" max="5896" width="4.7109375" style="21" bestFit="1" customWidth="1"/>
    <col min="5897" max="6140" width="8.85546875" style="21"/>
    <col min="6141" max="6141" width="6.42578125" style="21" bestFit="1" customWidth="1"/>
    <col min="6142" max="6142" width="20.7109375" style="21" bestFit="1" customWidth="1"/>
    <col min="6143" max="6143" width="14.7109375" style="21" bestFit="1" customWidth="1"/>
    <col min="6144" max="6144" width="13.85546875" style="21" bestFit="1" customWidth="1"/>
    <col min="6145" max="6145" width="7.7109375" style="21" bestFit="1" customWidth="1"/>
    <col min="6146" max="6147" width="6" style="21" bestFit="1" customWidth="1"/>
    <col min="6148" max="6148" width="9.7109375" style="21" bestFit="1" customWidth="1"/>
    <col min="6149" max="6149" width="10.7109375" style="21" bestFit="1" customWidth="1"/>
    <col min="6150" max="6150" width="10" style="21" bestFit="1" customWidth="1"/>
    <col min="6151" max="6151" width="30.42578125" style="21" bestFit="1" customWidth="1"/>
    <col min="6152" max="6152" width="4.7109375" style="21" bestFit="1" customWidth="1"/>
    <col min="6153" max="6396" width="8.85546875" style="21"/>
    <col min="6397" max="6397" width="6.42578125" style="21" bestFit="1" customWidth="1"/>
    <col min="6398" max="6398" width="20.7109375" style="21" bestFit="1" customWidth="1"/>
    <col min="6399" max="6399" width="14.7109375" style="21" bestFit="1" customWidth="1"/>
    <col min="6400" max="6400" width="13.85546875" style="21" bestFit="1" customWidth="1"/>
    <col min="6401" max="6401" width="7.7109375" style="21" bestFit="1" customWidth="1"/>
    <col min="6402" max="6403" width="6" style="21" bestFit="1" customWidth="1"/>
    <col min="6404" max="6404" width="9.7109375" style="21" bestFit="1" customWidth="1"/>
    <col min="6405" max="6405" width="10.7109375" style="21" bestFit="1" customWidth="1"/>
    <col min="6406" max="6406" width="10" style="21" bestFit="1" customWidth="1"/>
    <col min="6407" max="6407" width="30.42578125" style="21" bestFit="1" customWidth="1"/>
    <col min="6408" max="6408" width="4.7109375" style="21" bestFit="1" customWidth="1"/>
    <col min="6409" max="6652" width="8.85546875" style="21"/>
    <col min="6653" max="6653" width="6.42578125" style="21" bestFit="1" customWidth="1"/>
    <col min="6654" max="6654" width="20.7109375" style="21" bestFit="1" customWidth="1"/>
    <col min="6655" max="6655" width="14.7109375" style="21" bestFit="1" customWidth="1"/>
    <col min="6656" max="6656" width="13.85546875" style="21" bestFit="1" customWidth="1"/>
    <col min="6657" max="6657" width="7.7109375" style="21" bestFit="1" customWidth="1"/>
    <col min="6658" max="6659" width="6" style="21" bestFit="1" customWidth="1"/>
    <col min="6660" max="6660" width="9.7109375" style="21" bestFit="1" customWidth="1"/>
    <col min="6661" max="6661" width="10.7109375" style="21" bestFit="1" customWidth="1"/>
    <col min="6662" max="6662" width="10" style="21" bestFit="1" customWidth="1"/>
    <col min="6663" max="6663" width="30.42578125" style="21" bestFit="1" customWidth="1"/>
    <col min="6664" max="6664" width="4.7109375" style="21" bestFit="1" customWidth="1"/>
    <col min="6665" max="6908" width="8.85546875" style="21"/>
    <col min="6909" max="6909" width="6.42578125" style="21" bestFit="1" customWidth="1"/>
    <col min="6910" max="6910" width="20.7109375" style="21" bestFit="1" customWidth="1"/>
    <col min="6911" max="6911" width="14.7109375" style="21" bestFit="1" customWidth="1"/>
    <col min="6912" max="6912" width="13.85546875" style="21" bestFit="1" customWidth="1"/>
    <col min="6913" max="6913" width="7.7109375" style="21" bestFit="1" customWidth="1"/>
    <col min="6914" max="6915" width="6" style="21" bestFit="1" customWidth="1"/>
    <col min="6916" max="6916" width="9.7109375" style="21" bestFit="1" customWidth="1"/>
    <col min="6917" max="6917" width="10.7109375" style="21" bestFit="1" customWidth="1"/>
    <col min="6918" max="6918" width="10" style="21" bestFit="1" customWidth="1"/>
    <col min="6919" max="6919" width="30.42578125" style="21" bestFit="1" customWidth="1"/>
    <col min="6920" max="6920" width="4.7109375" style="21" bestFit="1" customWidth="1"/>
    <col min="6921" max="7164" width="8.85546875" style="21"/>
    <col min="7165" max="7165" width="6.42578125" style="21" bestFit="1" customWidth="1"/>
    <col min="7166" max="7166" width="20.7109375" style="21" bestFit="1" customWidth="1"/>
    <col min="7167" max="7167" width="14.7109375" style="21" bestFit="1" customWidth="1"/>
    <col min="7168" max="7168" width="13.85546875" style="21" bestFit="1" customWidth="1"/>
    <col min="7169" max="7169" width="7.7109375" style="21" bestFit="1" customWidth="1"/>
    <col min="7170" max="7171" width="6" style="21" bestFit="1" customWidth="1"/>
    <col min="7172" max="7172" width="9.7109375" style="21" bestFit="1" customWidth="1"/>
    <col min="7173" max="7173" width="10.7109375" style="21" bestFit="1" customWidth="1"/>
    <col min="7174" max="7174" width="10" style="21" bestFit="1" customWidth="1"/>
    <col min="7175" max="7175" width="30.42578125" style="21" bestFit="1" customWidth="1"/>
    <col min="7176" max="7176" width="4.7109375" style="21" bestFit="1" customWidth="1"/>
    <col min="7177" max="7420" width="8.85546875" style="21"/>
    <col min="7421" max="7421" width="6.42578125" style="21" bestFit="1" customWidth="1"/>
    <col min="7422" max="7422" width="20.7109375" style="21" bestFit="1" customWidth="1"/>
    <col min="7423" max="7423" width="14.7109375" style="21" bestFit="1" customWidth="1"/>
    <col min="7424" max="7424" width="13.85546875" style="21" bestFit="1" customWidth="1"/>
    <col min="7425" max="7425" width="7.7109375" style="21" bestFit="1" customWidth="1"/>
    <col min="7426" max="7427" width="6" style="21" bestFit="1" customWidth="1"/>
    <col min="7428" max="7428" width="9.7109375" style="21" bestFit="1" customWidth="1"/>
    <col min="7429" max="7429" width="10.7109375" style="21" bestFit="1" customWidth="1"/>
    <col min="7430" max="7430" width="10" style="21" bestFit="1" customWidth="1"/>
    <col min="7431" max="7431" width="30.42578125" style="21" bestFit="1" customWidth="1"/>
    <col min="7432" max="7432" width="4.7109375" style="21" bestFit="1" customWidth="1"/>
    <col min="7433" max="7676" width="8.85546875" style="21"/>
    <col min="7677" max="7677" width="6.42578125" style="21" bestFit="1" customWidth="1"/>
    <col min="7678" max="7678" width="20.7109375" style="21" bestFit="1" customWidth="1"/>
    <col min="7679" max="7679" width="14.7109375" style="21" bestFit="1" customWidth="1"/>
    <col min="7680" max="7680" width="13.85546875" style="21" bestFit="1" customWidth="1"/>
    <col min="7681" max="7681" width="7.7109375" style="21" bestFit="1" customWidth="1"/>
    <col min="7682" max="7683" width="6" style="21" bestFit="1" customWidth="1"/>
    <col min="7684" max="7684" width="9.7109375" style="21" bestFit="1" customWidth="1"/>
    <col min="7685" max="7685" width="10.7109375" style="21" bestFit="1" customWidth="1"/>
    <col min="7686" max="7686" width="10" style="21" bestFit="1" customWidth="1"/>
    <col min="7687" max="7687" width="30.42578125" style="21" bestFit="1" customWidth="1"/>
    <col min="7688" max="7688" width="4.7109375" style="21" bestFit="1" customWidth="1"/>
    <col min="7689" max="7932" width="8.85546875" style="21"/>
    <col min="7933" max="7933" width="6.42578125" style="21" bestFit="1" customWidth="1"/>
    <col min="7934" max="7934" width="20.7109375" style="21" bestFit="1" customWidth="1"/>
    <col min="7935" max="7935" width="14.7109375" style="21" bestFit="1" customWidth="1"/>
    <col min="7936" max="7936" width="13.85546875" style="21" bestFit="1" customWidth="1"/>
    <col min="7937" max="7937" width="7.7109375" style="21" bestFit="1" customWidth="1"/>
    <col min="7938" max="7939" width="6" style="21" bestFit="1" customWidth="1"/>
    <col min="7940" max="7940" width="9.7109375" style="21" bestFit="1" customWidth="1"/>
    <col min="7941" max="7941" width="10.7109375" style="21" bestFit="1" customWidth="1"/>
    <col min="7942" max="7942" width="10" style="21" bestFit="1" customWidth="1"/>
    <col min="7943" max="7943" width="30.42578125" style="21" bestFit="1" customWidth="1"/>
    <col min="7944" max="7944" width="4.7109375" style="21" bestFit="1" customWidth="1"/>
    <col min="7945" max="8188" width="8.85546875" style="21"/>
    <col min="8189" max="8189" width="6.42578125" style="21" bestFit="1" customWidth="1"/>
    <col min="8190" max="8190" width="20.7109375" style="21" bestFit="1" customWidth="1"/>
    <col min="8191" max="8191" width="14.7109375" style="21" bestFit="1" customWidth="1"/>
    <col min="8192" max="8192" width="13.85546875" style="21" bestFit="1" customWidth="1"/>
    <col min="8193" max="8193" width="7.7109375" style="21" bestFit="1" customWidth="1"/>
    <col min="8194" max="8195" width="6" style="21" bestFit="1" customWidth="1"/>
    <col min="8196" max="8196" width="9.7109375" style="21" bestFit="1" customWidth="1"/>
    <col min="8197" max="8197" width="10.7109375" style="21" bestFit="1" customWidth="1"/>
    <col min="8198" max="8198" width="10" style="21" bestFit="1" customWidth="1"/>
    <col min="8199" max="8199" width="30.42578125" style="21" bestFit="1" customWidth="1"/>
    <col min="8200" max="8200" width="4.7109375" style="21" bestFit="1" customWidth="1"/>
    <col min="8201" max="8444" width="8.85546875" style="21"/>
    <col min="8445" max="8445" width="6.42578125" style="21" bestFit="1" customWidth="1"/>
    <col min="8446" max="8446" width="20.7109375" style="21" bestFit="1" customWidth="1"/>
    <col min="8447" max="8447" width="14.7109375" style="21" bestFit="1" customWidth="1"/>
    <col min="8448" max="8448" width="13.85546875" style="21" bestFit="1" customWidth="1"/>
    <col min="8449" max="8449" width="7.7109375" style="21" bestFit="1" customWidth="1"/>
    <col min="8450" max="8451" width="6" style="21" bestFit="1" customWidth="1"/>
    <col min="8452" max="8452" width="9.7109375" style="21" bestFit="1" customWidth="1"/>
    <col min="8453" max="8453" width="10.7109375" style="21" bestFit="1" customWidth="1"/>
    <col min="8454" max="8454" width="10" style="21" bestFit="1" customWidth="1"/>
    <col min="8455" max="8455" width="30.42578125" style="21" bestFit="1" customWidth="1"/>
    <col min="8456" max="8456" width="4.7109375" style="21" bestFit="1" customWidth="1"/>
    <col min="8457" max="8700" width="8.85546875" style="21"/>
    <col min="8701" max="8701" width="6.42578125" style="21" bestFit="1" customWidth="1"/>
    <col min="8702" max="8702" width="20.7109375" style="21" bestFit="1" customWidth="1"/>
    <col min="8703" max="8703" width="14.7109375" style="21" bestFit="1" customWidth="1"/>
    <col min="8704" max="8704" width="13.85546875" style="21" bestFit="1" customWidth="1"/>
    <col min="8705" max="8705" width="7.7109375" style="21" bestFit="1" customWidth="1"/>
    <col min="8706" max="8707" width="6" style="21" bestFit="1" customWidth="1"/>
    <col min="8708" max="8708" width="9.7109375" style="21" bestFit="1" customWidth="1"/>
    <col min="8709" max="8709" width="10.7109375" style="21" bestFit="1" customWidth="1"/>
    <col min="8710" max="8710" width="10" style="21" bestFit="1" customWidth="1"/>
    <col min="8711" max="8711" width="30.42578125" style="21" bestFit="1" customWidth="1"/>
    <col min="8712" max="8712" width="4.7109375" style="21" bestFit="1" customWidth="1"/>
    <col min="8713" max="8956" width="8.85546875" style="21"/>
    <col min="8957" max="8957" width="6.42578125" style="21" bestFit="1" customWidth="1"/>
    <col min="8958" max="8958" width="20.7109375" style="21" bestFit="1" customWidth="1"/>
    <col min="8959" max="8959" width="14.7109375" style="21" bestFit="1" customWidth="1"/>
    <col min="8960" max="8960" width="13.85546875" style="21" bestFit="1" customWidth="1"/>
    <col min="8961" max="8961" width="7.7109375" style="21" bestFit="1" customWidth="1"/>
    <col min="8962" max="8963" width="6" style="21" bestFit="1" customWidth="1"/>
    <col min="8964" max="8964" width="9.7109375" style="21" bestFit="1" customWidth="1"/>
    <col min="8965" max="8965" width="10.7109375" style="21" bestFit="1" customWidth="1"/>
    <col min="8966" max="8966" width="10" style="21" bestFit="1" customWidth="1"/>
    <col min="8967" max="8967" width="30.42578125" style="21" bestFit="1" customWidth="1"/>
    <col min="8968" max="8968" width="4.7109375" style="21" bestFit="1" customWidth="1"/>
    <col min="8969" max="9212" width="8.85546875" style="21"/>
    <col min="9213" max="9213" width="6.42578125" style="21" bestFit="1" customWidth="1"/>
    <col min="9214" max="9214" width="20.7109375" style="21" bestFit="1" customWidth="1"/>
    <col min="9215" max="9215" width="14.7109375" style="21" bestFit="1" customWidth="1"/>
    <col min="9216" max="9216" width="13.85546875" style="21" bestFit="1" customWidth="1"/>
    <col min="9217" max="9217" width="7.7109375" style="21" bestFit="1" customWidth="1"/>
    <col min="9218" max="9219" width="6" style="21" bestFit="1" customWidth="1"/>
    <col min="9220" max="9220" width="9.7109375" style="21" bestFit="1" customWidth="1"/>
    <col min="9221" max="9221" width="10.7109375" style="21" bestFit="1" customWidth="1"/>
    <col min="9222" max="9222" width="10" style="21" bestFit="1" customWidth="1"/>
    <col min="9223" max="9223" width="30.42578125" style="21" bestFit="1" customWidth="1"/>
    <col min="9224" max="9224" width="4.7109375" style="21" bestFit="1" customWidth="1"/>
    <col min="9225" max="9468" width="8.85546875" style="21"/>
    <col min="9469" max="9469" width="6.42578125" style="21" bestFit="1" customWidth="1"/>
    <col min="9470" max="9470" width="20.7109375" style="21" bestFit="1" customWidth="1"/>
    <col min="9471" max="9471" width="14.7109375" style="21" bestFit="1" customWidth="1"/>
    <col min="9472" max="9472" width="13.85546875" style="21" bestFit="1" customWidth="1"/>
    <col min="9473" max="9473" width="7.7109375" style="21" bestFit="1" customWidth="1"/>
    <col min="9474" max="9475" width="6" style="21" bestFit="1" customWidth="1"/>
    <col min="9476" max="9476" width="9.7109375" style="21" bestFit="1" customWidth="1"/>
    <col min="9477" max="9477" width="10.7109375" style="21" bestFit="1" customWidth="1"/>
    <col min="9478" max="9478" width="10" style="21" bestFit="1" customWidth="1"/>
    <col min="9479" max="9479" width="30.42578125" style="21" bestFit="1" customWidth="1"/>
    <col min="9480" max="9480" width="4.7109375" style="21" bestFit="1" customWidth="1"/>
    <col min="9481" max="9724" width="8.85546875" style="21"/>
    <col min="9725" max="9725" width="6.42578125" style="21" bestFit="1" customWidth="1"/>
    <col min="9726" max="9726" width="20.7109375" style="21" bestFit="1" customWidth="1"/>
    <col min="9727" max="9727" width="14.7109375" style="21" bestFit="1" customWidth="1"/>
    <col min="9728" max="9728" width="13.85546875" style="21" bestFit="1" customWidth="1"/>
    <col min="9729" max="9729" width="7.7109375" style="21" bestFit="1" customWidth="1"/>
    <col min="9730" max="9731" width="6" style="21" bestFit="1" customWidth="1"/>
    <col min="9732" max="9732" width="9.7109375" style="21" bestFit="1" customWidth="1"/>
    <col min="9733" max="9733" width="10.7109375" style="21" bestFit="1" customWidth="1"/>
    <col min="9734" max="9734" width="10" style="21" bestFit="1" customWidth="1"/>
    <col min="9735" max="9735" width="30.42578125" style="21" bestFit="1" customWidth="1"/>
    <col min="9736" max="9736" width="4.7109375" style="21" bestFit="1" customWidth="1"/>
    <col min="9737" max="9980" width="8.85546875" style="21"/>
    <col min="9981" max="9981" width="6.42578125" style="21" bestFit="1" customWidth="1"/>
    <col min="9982" max="9982" width="20.7109375" style="21" bestFit="1" customWidth="1"/>
    <col min="9983" max="9983" width="14.7109375" style="21" bestFit="1" customWidth="1"/>
    <col min="9984" max="9984" width="13.85546875" style="21" bestFit="1" customWidth="1"/>
    <col min="9985" max="9985" width="7.7109375" style="21" bestFit="1" customWidth="1"/>
    <col min="9986" max="9987" width="6" style="21" bestFit="1" customWidth="1"/>
    <col min="9988" max="9988" width="9.7109375" style="21" bestFit="1" customWidth="1"/>
    <col min="9989" max="9989" width="10.7109375" style="21" bestFit="1" customWidth="1"/>
    <col min="9990" max="9990" width="10" style="21" bestFit="1" customWidth="1"/>
    <col min="9991" max="9991" width="30.42578125" style="21" bestFit="1" customWidth="1"/>
    <col min="9992" max="9992" width="4.7109375" style="21" bestFit="1" customWidth="1"/>
    <col min="9993" max="10236" width="8.85546875" style="21"/>
    <col min="10237" max="10237" width="6.42578125" style="21" bestFit="1" customWidth="1"/>
    <col min="10238" max="10238" width="20.7109375" style="21" bestFit="1" customWidth="1"/>
    <col min="10239" max="10239" width="14.7109375" style="21" bestFit="1" customWidth="1"/>
    <col min="10240" max="10240" width="13.85546875" style="21" bestFit="1" customWidth="1"/>
    <col min="10241" max="10241" width="7.7109375" style="21" bestFit="1" customWidth="1"/>
    <col min="10242" max="10243" width="6" style="21" bestFit="1" customWidth="1"/>
    <col min="10244" max="10244" width="9.7109375" style="21" bestFit="1" customWidth="1"/>
    <col min="10245" max="10245" width="10.7109375" style="21" bestFit="1" customWidth="1"/>
    <col min="10246" max="10246" width="10" style="21" bestFit="1" customWidth="1"/>
    <col min="10247" max="10247" width="30.42578125" style="21" bestFit="1" customWidth="1"/>
    <col min="10248" max="10248" width="4.7109375" style="21" bestFit="1" customWidth="1"/>
    <col min="10249" max="10492" width="8.85546875" style="21"/>
    <col min="10493" max="10493" width="6.42578125" style="21" bestFit="1" customWidth="1"/>
    <col min="10494" max="10494" width="20.7109375" style="21" bestFit="1" customWidth="1"/>
    <col min="10495" max="10495" width="14.7109375" style="21" bestFit="1" customWidth="1"/>
    <col min="10496" max="10496" width="13.85546875" style="21" bestFit="1" customWidth="1"/>
    <col min="10497" max="10497" width="7.7109375" style="21" bestFit="1" customWidth="1"/>
    <col min="10498" max="10499" width="6" style="21" bestFit="1" customWidth="1"/>
    <col min="10500" max="10500" width="9.7109375" style="21" bestFit="1" customWidth="1"/>
    <col min="10501" max="10501" width="10.7109375" style="21" bestFit="1" customWidth="1"/>
    <col min="10502" max="10502" width="10" style="21" bestFit="1" customWidth="1"/>
    <col min="10503" max="10503" width="30.42578125" style="21" bestFit="1" customWidth="1"/>
    <col min="10504" max="10504" width="4.7109375" style="21" bestFit="1" customWidth="1"/>
    <col min="10505" max="10748" width="8.85546875" style="21"/>
    <col min="10749" max="10749" width="6.42578125" style="21" bestFit="1" customWidth="1"/>
    <col min="10750" max="10750" width="20.7109375" style="21" bestFit="1" customWidth="1"/>
    <col min="10751" max="10751" width="14.7109375" style="21" bestFit="1" customWidth="1"/>
    <col min="10752" max="10752" width="13.85546875" style="21" bestFit="1" customWidth="1"/>
    <col min="10753" max="10753" width="7.7109375" style="21" bestFit="1" customWidth="1"/>
    <col min="10754" max="10755" width="6" style="21" bestFit="1" customWidth="1"/>
    <col min="10756" max="10756" width="9.7109375" style="21" bestFit="1" customWidth="1"/>
    <col min="10757" max="10757" width="10.7109375" style="21" bestFit="1" customWidth="1"/>
    <col min="10758" max="10758" width="10" style="21" bestFit="1" customWidth="1"/>
    <col min="10759" max="10759" width="30.42578125" style="21" bestFit="1" customWidth="1"/>
    <col min="10760" max="10760" width="4.7109375" style="21" bestFit="1" customWidth="1"/>
    <col min="10761" max="11004" width="8.85546875" style="21"/>
    <col min="11005" max="11005" width="6.42578125" style="21" bestFit="1" customWidth="1"/>
    <col min="11006" max="11006" width="20.7109375" style="21" bestFit="1" customWidth="1"/>
    <col min="11007" max="11007" width="14.7109375" style="21" bestFit="1" customWidth="1"/>
    <col min="11008" max="11008" width="13.85546875" style="21" bestFit="1" customWidth="1"/>
    <col min="11009" max="11009" width="7.7109375" style="21" bestFit="1" customWidth="1"/>
    <col min="11010" max="11011" width="6" style="21" bestFit="1" customWidth="1"/>
    <col min="11012" max="11012" width="9.7109375" style="21" bestFit="1" customWidth="1"/>
    <col min="11013" max="11013" width="10.7109375" style="21" bestFit="1" customWidth="1"/>
    <col min="11014" max="11014" width="10" style="21" bestFit="1" customWidth="1"/>
    <col min="11015" max="11015" width="30.42578125" style="21" bestFit="1" customWidth="1"/>
    <col min="11016" max="11016" width="4.7109375" style="21" bestFit="1" customWidth="1"/>
    <col min="11017" max="11260" width="8.85546875" style="21"/>
    <col min="11261" max="11261" width="6.42578125" style="21" bestFit="1" customWidth="1"/>
    <col min="11262" max="11262" width="20.7109375" style="21" bestFit="1" customWidth="1"/>
    <col min="11263" max="11263" width="14.7109375" style="21" bestFit="1" customWidth="1"/>
    <col min="11264" max="11264" width="13.85546875" style="21" bestFit="1" customWidth="1"/>
    <col min="11265" max="11265" width="7.7109375" style="21" bestFit="1" customWidth="1"/>
    <col min="11266" max="11267" width="6" style="21" bestFit="1" customWidth="1"/>
    <col min="11268" max="11268" width="9.7109375" style="21" bestFit="1" customWidth="1"/>
    <col min="11269" max="11269" width="10.7109375" style="21" bestFit="1" customWidth="1"/>
    <col min="11270" max="11270" width="10" style="21" bestFit="1" customWidth="1"/>
    <col min="11271" max="11271" width="30.42578125" style="21" bestFit="1" customWidth="1"/>
    <col min="11272" max="11272" width="4.7109375" style="21" bestFit="1" customWidth="1"/>
    <col min="11273" max="11516" width="8.85546875" style="21"/>
    <col min="11517" max="11517" width="6.42578125" style="21" bestFit="1" customWidth="1"/>
    <col min="11518" max="11518" width="20.7109375" style="21" bestFit="1" customWidth="1"/>
    <col min="11519" max="11519" width="14.7109375" style="21" bestFit="1" customWidth="1"/>
    <col min="11520" max="11520" width="13.85546875" style="21" bestFit="1" customWidth="1"/>
    <col min="11521" max="11521" width="7.7109375" style="21" bestFit="1" customWidth="1"/>
    <col min="11522" max="11523" width="6" style="21" bestFit="1" customWidth="1"/>
    <col min="11524" max="11524" width="9.7109375" style="21" bestFit="1" customWidth="1"/>
    <col min="11525" max="11525" width="10.7109375" style="21" bestFit="1" customWidth="1"/>
    <col min="11526" max="11526" width="10" style="21" bestFit="1" customWidth="1"/>
    <col min="11527" max="11527" width="30.42578125" style="21" bestFit="1" customWidth="1"/>
    <col min="11528" max="11528" width="4.7109375" style="21" bestFit="1" customWidth="1"/>
    <col min="11529" max="11772" width="8.85546875" style="21"/>
    <col min="11773" max="11773" width="6.42578125" style="21" bestFit="1" customWidth="1"/>
    <col min="11774" max="11774" width="20.7109375" style="21" bestFit="1" customWidth="1"/>
    <col min="11775" max="11775" width="14.7109375" style="21" bestFit="1" customWidth="1"/>
    <col min="11776" max="11776" width="13.85546875" style="21" bestFit="1" customWidth="1"/>
    <col min="11777" max="11777" width="7.7109375" style="21" bestFit="1" customWidth="1"/>
    <col min="11778" max="11779" width="6" style="21" bestFit="1" customWidth="1"/>
    <col min="11780" max="11780" width="9.7109375" style="21" bestFit="1" customWidth="1"/>
    <col min="11781" max="11781" width="10.7109375" style="21" bestFit="1" customWidth="1"/>
    <col min="11782" max="11782" width="10" style="21" bestFit="1" customWidth="1"/>
    <col min="11783" max="11783" width="30.42578125" style="21" bestFit="1" customWidth="1"/>
    <col min="11784" max="11784" width="4.7109375" style="21" bestFit="1" customWidth="1"/>
    <col min="11785" max="12028" width="8.85546875" style="21"/>
    <col min="12029" max="12029" width="6.42578125" style="21" bestFit="1" customWidth="1"/>
    <col min="12030" max="12030" width="20.7109375" style="21" bestFit="1" customWidth="1"/>
    <col min="12031" max="12031" width="14.7109375" style="21" bestFit="1" customWidth="1"/>
    <col min="12032" max="12032" width="13.85546875" style="21" bestFit="1" customWidth="1"/>
    <col min="12033" max="12033" width="7.7109375" style="21" bestFit="1" customWidth="1"/>
    <col min="12034" max="12035" width="6" style="21" bestFit="1" customWidth="1"/>
    <col min="12036" max="12036" width="9.7109375" style="21" bestFit="1" customWidth="1"/>
    <col min="12037" max="12037" width="10.7109375" style="21" bestFit="1" customWidth="1"/>
    <col min="12038" max="12038" width="10" style="21" bestFit="1" customWidth="1"/>
    <col min="12039" max="12039" width="30.42578125" style="21" bestFit="1" customWidth="1"/>
    <col min="12040" max="12040" width="4.7109375" style="21" bestFit="1" customWidth="1"/>
    <col min="12041" max="12284" width="8.85546875" style="21"/>
    <col min="12285" max="12285" width="6.42578125" style="21" bestFit="1" customWidth="1"/>
    <col min="12286" max="12286" width="20.7109375" style="21" bestFit="1" customWidth="1"/>
    <col min="12287" max="12287" width="14.7109375" style="21" bestFit="1" customWidth="1"/>
    <col min="12288" max="12288" width="13.85546875" style="21" bestFit="1" customWidth="1"/>
    <col min="12289" max="12289" width="7.7109375" style="21" bestFit="1" customWidth="1"/>
    <col min="12290" max="12291" width="6" style="21" bestFit="1" customWidth="1"/>
    <col min="12292" max="12292" width="9.7109375" style="21" bestFit="1" customWidth="1"/>
    <col min="12293" max="12293" width="10.7109375" style="21" bestFit="1" customWidth="1"/>
    <col min="12294" max="12294" width="10" style="21" bestFit="1" customWidth="1"/>
    <col min="12295" max="12295" width="30.42578125" style="21" bestFit="1" customWidth="1"/>
    <col min="12296" max="12296" width="4.7109375" style="21" bestFit="1" customWidth="1"/>
    <col min="12297" max="12540" width="8.85546875" style="21"/>
    <col min="12541" max="12541" width="6.42578125" style="21" bestFit="1" customWidth="1"/>
    <col min="12542" max="12542" width="20.7109375" style="21" bestFit="1" customWidth="1"/>
    <col min="12543" max="12543" width="14.7109375" style="21" bestFit="1" customWidth="1"/>
    <col min="12544" max="12544" width="13.85546875" style="21" bestFit="1" customWidth="1"/>
    <col min="12545" max="12545" width="7.7109375" style="21" bestFit="1" customWidth="1"/>
    <col min="12546" max="12547" width="6" style="21" bestFit="1" customWidth="1"/>
    <col min="12548" max="12548" width="9.7109375" style="21" bestFit="1" customWidth="1"/>
    <col min="12549" max="12549" width="10.7109375" style="21" bestFit="1" customWidth="1"/>
    <col min="12550" max="12550" width="10" style="21" bestFit="1" customWidth="1"/>
    <col min="12551" max="12551" width="30.42578125" style="21" bestFit="1" customWidth="1"/>
    <col min="12552" max="12552" width="4.7109375" style="21" bestFit="1" customWidth="1"/>
    <col min="12553" max="12796" width="8.85546875" style="21"/>
    <col min="12797" max="12797" width="6.42578125" style="21" bestFit="1" customWidth="1"/>
    <col min="12798" max="12798" width="20.7109375" style="21" bestFit="1" customWidth="1"/>
    <col min="12799" max="12799" width="14.7109375" style="21" bestFit="1" customWidth="1"/>
    <col min="12800" max="12800" width="13.85546875" style="21" bestFit="1" customWidth="1"/>
    <col min="12801" max="12801" width="7.7109375" style="21" bestFit="1" customWidth="1"/>
    <col min="12802" max="12803" width="6" style="21" bestFit="1" customWidth="1"/>
    <col min="12804" max="12804" width="9.7109375" style="21" bestFit="1" customWidth="1"/>
    <col min="12805" max="12805" width="10.7109375" style="21" bestFit="1" customWidth="1"/>
    <col min="12806" max="12806" width="10" style="21" bestFit="1" customWidth="1"/>
    <col min="12807" max="12807" width="30.42578125" style="21" bestFit="1" customWidth="1"/>
    <col min="12808" max="12808" width="4.7109375" style="21" bestFit="1" customWidth="1"/>
    <col min="12809" max="13052" width="8.85546875" style="21"/>
    <col min="13053" max="13053" width="6.42578125" style="21" bestFit="1" customWidth="1"/>
    <col min="13054" max="13054" width="20.7109375" style="21" bestFit="1" customWidth="1"/>
    <col min="13055" max="13055" width="14.7109375" style="21" bestFit="1" customWidth="1"/>
    <col min="13056" max="13056" width="13.85546875" style="21" bestFit="1" customWidth="1"/>
    <col min="13057" max="13057" width="7.7109375" style="21" bestFit="1" customWidth="1"/>
    <col min="13058" max="13059" width="6" style="21" bestFit="1" customWidth="1"/>
    <col min="13060" max="13060" width="9.7109375" style="21" bestFit="1" customWidth="1"/>
    <col min="13061" max="13061" width="10.7109375" style="21" bestFit="1" customWidth="1"/>
    <col min="13062" max="13062" width="10" style="21" bestFit="1" customWidth="1"/>
    <col min="13063" max="13063" width="30.42578125" style="21" bestFit="1" customWidth="1"/>
    <col min="13064" max="13064" width="4.7109375" style="21" bestFit="1" customWidth="1"/>
    <col min="13065" max="13308" width="8.85546875" style="21"/>
    <col min="13309" max="13309" width="6.42578125" style="21" bestFit="1" customWidth="1"/>
    <col min="13310" max="13310" width="20.7109375" style="21" bestFit="1" customWidth="1"/>
    <col min="13311" max="13311" width="14.7109375" style="21" bestFit="1" customWidth="1"/>
    <col min="13312" max="13312" width="13.85546875" style="21" bestFit="1" customWidth="1"/>
    <col min="13313" max="13313" width="7.7109375" style="21" bestFit="1" customWidth="1"/>
    <col min="13314" max="13315" width="6" style="21" bestFit="1" customWidth="1"/>
    <col min="13316" max="13316" width="9.7109375" style="21" bestFit="1" customWidth="1"/>
    <col min="13317" max="13317" width="10.7109375" style="21" bestFit="1" customWidth="1"/>
    <col min="13318" max="13318" width="10" style="21" bestFit="1" customWidth="1"/>
    <col min="13319" max="13319" width="30.42578125" style="21" bestFit="1" customWidth="1"/>
    <col min="13320" max="13320" width="4.7109375" style="21" bestFit="1" customWidth="1"/>
    <col min="13321" max="13564" width="8.85546875" style="21"/>
    <col min="13565" max="13565" width="6.42578125" style="21" bestFit="1" customWidth="1"/>
    <col min="13566" max="13566" width="20.7109375" style="21" bestFit="1" customWidth="1"/>
    <col min="13567" max="13567" width="14.7109375" style="21" bestFit="1" customWidth="1"/>
    <col min="13568" max="13568" width="13.85546875" style="21" bestFit="1" customWidth="1"/>
    <col min="13569" max="13569" width="7.7109375" style="21" bestFit="1" customWidth="1"/>
    <col min="13570" max="13571" width="6" style="21" bestFit="1" customWidth="1"/>
    <col min="13572" max="13572" width="9.7109375" style="21" bestFit="1" customWidth="1"/>
    <col min="13573" max="13573" width="10.7109375" style="21" bestFit="1" customWidth="1"/>
    <col min="13574" max="13574" width="10" style="21" bestFit="1" customWidth="1"/>
    <col min="13575" max="13575" width="30.42578125" style="21" bestFit="1" customWidth="1"/>
    <col min="13576" max="13576" width="4.7109375" style="21" bestFit="1" customWidth="1"/>
    <col min="13577" max="13820" width="8.85546875" style="21"/>
    <col min="13821" max="13821" width="6.42578125" style="21" bestFit="1" customWidth="1"/>
    <col min="13822" max="13822" width="20.7109375" style="21" bestFit="1" customWidth="1"/>
    <col min="13823" max="13823" width="14.7109375" style="21" bestFit="1" customWidth="1"/>
    <col min="13824" max="13824" width="13.85546875" style="21" bestFit="1" customWidth="1"/>
    <col min="13825" max="13825" width="7.7109375" style="21" bestFit="1" customWidth="1"/>
    <col min="13826" max="13827" width="6" style="21" bestFit="1" customWidth="1"/>
    <col min="13828" max="13828" width="9.7109375" style="21" bestFit="1" customWidth="1"/>
    <col min="13829" max="13829" width="10.7109375" style="21" bestFit="1" customWidth="1"/>
    <col min="13830" max="13830" width="10" style="21" bestFit="1" customWidth="1"/>
    <col min="13831" max="13831" width="30.42578125" style="21" bestFit="1" customWidth="1"/>
    <col min="13832" max="13832" width="4.7109375" style="21" bestFit="1" customWidth="1"/>
    <col min="13833" max="14076" width="8.85546875" style="21"/>
    <col min="14077" max="14077" width="6.42578125" style="21" bestFit="1" customWidth="1"/>
    <col min="14078" max="14078" width="20.7109375" style="21" bestFit="1" customWidth="1"/>
    <col min="14079" max="14079" width="14.7109375" style="21" bestFit="1" customWidth="1"/>
    <col min="14080" max="14080" width="13.85546875" style="21" bestFit="1" customWidth="1"/>
    <col min="14081" max="14081" width="7.7109375" style="21" bestFit="1" customWidth="1"/>
    <col min="14082" max="14083" width="6" style="21" bestFit="1" customWidth="1"/>
    <col min="14084" max="14084" width="9.7109375" style="21" bestFit="1" customWidth="1"/>
    <col min="14085" max="14085" width="10.7109375" style="21" bestFit="1" customWidth="1"/>
    <col min="14086" max="14086" width="10" style="21" bestFit="1" customWidth="1"/>
    <col min="14087" max="14087" width="30.42578125" style="21" bestFit="1" customWidth="1"/>
    <col min="14088" max="14088" width="4.7109375" style="21" bestFit="1" customWidth="1"/>
    <col min="14089" max="14332" width="8.85546875" style="21"/>
    <col min="14333" max="14333" width="6.42578125" style="21" bestFit="1" customWidth="1"/>
    <col min="14334" max="14334" width="20.7109375" style="21" bestFit="1" customWidth="1"/>
    <col min="14335" max="14335" width="14.7109375" style="21" bestFit="1" customWidth="1"/>
    <col min="14336" max="14336" width="13.85546875" style="21" bestFit="1" customWidth="1"/>
    <col min="14337" max="14337" width="7.7109375" style="21" bestFit="1" customWidth="1"/>
    <col min="14338" max="14339" width="6" style="21" bestFit="1" customWidth="1"/>
    <col min="14340" max="14340" width="9.7109375" style="21" bestFit="1" customWidth="1"/>
    <col min="14341" max="14341" width="10.7109375" style="21" bestFit="1" customWidth="1"/>
    <col min="14342" max="14342" width="10" style="21" bestFit="1" customWidth="1"/>
    <col min="14343" max="14343" width="30.42578125" style="21" bestFit="1" customWidth="1"/>
    <col min="14344" max="14344" width="4.7109375" style="21" bestFit="1" customWidth="1"/>
    <col min="14345" max="14588" width="8.85546875" style="21"/>
    <col min="14589" max="14589" width="6.42578125" style="21" bestFit="1" customWidth="1"/>
    <col min="14590" max="14590" width="20.7109375" style="21" bestFit="1" customWidth="1"/>
    <col min="14591" max="14591" width="14.7109375" style="21" bestFit="1" customWidth="1"/>
    <col min="14592" max="14592" width="13.85546875" style="21" bestFit="1" customWidth="1"/>
    <col min="14593" max="14593" width="7.7109375" style="21" bestFit="1" customWidth="1"/>
    <col min="14594" max="14595" width="6" style="21" bestFit="1" customWidth="1"/>
    <col min="14596" max="14596" width="9.7109375" style="21" bestFit="1" customWidth="1"/>
    <col min="14597" max="14597" width="10.7109375" style="21" bestFit="1" customWidth="1"/>
    <col min="14598" max="14598" width="10" style="21" bestFit="1" customWidth="1"/>
    <col min="14599" max="14599" width="30.42578125" style="21" bestFit="1" customWidth="1"/>
    <col min="14600" max="14600" width="4.7109375" style="21" bestFit="1" customWidth="1"/>
    <col min="14601" max="14844" width="8.85546875" style="21"/>
    <col min="14845" max="14845" width="6.42578125" style="21" bestFit="1" customWidth="1"/>
    <col min="14846" max="14846" width="20.7109375" style="21" bestFit="1" customWidth="1"/>
    <col min="14847" max="14847" width="14.7109375" style="21" bestFit="1" customWidth="1"/>
    <col min="14848" max="14848" width="13.85546875" style="21" bestFit="1" customWidth="1"/>
    <col min="14849" max="14849" width="7.7109375" style="21" bestFit="1" customWidth="1"/>
    <col min="14850" max="14851" width="6" style="21" bestFit="1" customWidth="1"/>
    <col min="14852" max="14852" width="9.7109375" style="21" bestFit="1" customWidth="1"/>
    <col min="14853" max="14853" width="10.7109375" style="21" bestFit="1" customWidth="1"/>
    <col min="14854" max="14854" width="10" style="21" bestFit="1" customWidth="1"/>
    <col min="14855" max="14855" width="30.42578125" style="21" bestFit="1" customWidth="1"/>
    <col min="14856" max="14856" width="4.7109375" style="21" bestFit="1" customWidth="1"/>
    <col min="14857" max="15100" width="8.85546875" style="21"/>
    <col min="15101" max="15101" width="6.42578125" style="21" bestFit="1" customWidth="1"/>
    <col min="15102" max="15102" width="20.7109375" style="21" bestFit="1" customWidth="1"/>
    <col min="15103" max="15103" width="14.7109375" style="21" bestFit="1" customWidth="1"/>
    <col min="15104" max="15104" width="13.85546875" style="21" bestFit="1" customWidth="1"/>
    <col min="15105" max="15105" width="7.7109375" style="21" bestFit="1" customWidth="1"/>
    <col min="15106" max="15107" width="6" style="21" bestFit="1" customWidth="1"/>
    <col min="15108" max="15108" width="9.7109375" style="21" bestFit="1" customWidth="1"/>
    <col min="15109" max="15109" width="10.7109375" style="21" bestFit="1" customWidth="1"/>
    <col min="15110" max="15110" width="10" style="21" bestFit="1" customWidth="1"/>
    <col min="15111" max="15111" width="30.42578125" style="21" bestFit="1" customWidth="1"/>
    <col min="15112" max="15112" width="4.7109375" style="21" bestFit="1" customWidth="1"/>
    <col min="15113" max="15356" width="8.85546875" style="21"/>
    <col min="15357" max="15357" width="6.42578125" style="21" bestFit="1" customWidth="1"/>
    <col min="15358" max="15358" width="20.7109375" style="21" bestFit="1" customWidth="1"/>
    <col min="15359" max="15359" width="14.7109375" style="21" bestFit="1" customWidth="1"/>
    <col min="15360" max="15360" width="13.85546875" style="21" bestFit="1" customWidth="1"/>
    <col min="15361" max="15361" width="7.7109375" style="21" bestFit="1" customWidth="1"/>
    <col min="15362" max="15363" width="6" style="21" bestFit="1" customWidth="1"/>
    <col min="15364" max="15364" width="9.7109375" style="21" bestFit="1" customWidth="1"/>
    <col min="15365" max="15365" width="10.7109375" style="21" bestFit="1" customWidth="1"/>
    <col min="15366" max="15366" width="10" style="21" bestFit="1" customWidth="1"/>
    <col min="15367" max="15367" width="30.42578125" style="21" bestFit="1" customWidth="1"/>
    <col min="15368" max="15368" width="4.7109375" style="21" bestFit="1" customWidth="1"/>
    <col min="15369" max="15612" width="8.85546875" style="21"/>
    <col min="15613" max="15613" width="6.42578125" style="21" bestFit="1" customWidth="1"/>
    <col min="15614" max="15614" width="20.7109375" style="21" bestFit="1" customWidth="1"/>
    <col min="15615" max="15615" width="14.7109375" style="21" bestFit="1" customWidth="1"/>
    <col min="15616" max="15616" width="13.85546875" style="21" bestFit="1" customWidth="1"/>
    <col min="15617" max="15617" width="7.7109375" style="21" bestFit="1" customWidth="1"/>
    <col min="15618" max="15619" width="6" style="21" bestFit="1" customWidth="1"/>
    <col min="15620" max="15620" width="9.7109375" style="21" bestFit="1" customWidth="1"/>
    <col min="15621" max="15621" width="10.7109375" style="21" bestFit="1" customWidth="1"/>
    <col min="15622" max="15622" width="10" style="21" bestFit="1" customWidth="1"/>
    <col min="15623" max="15623" width="30.42578125" style="21" bestFit="1" customWidth="1"/>
    <col min="15624" max="15624" width="4.7109375" style="21" bestFit="1" customWidth="1"/>
    <col min="15625" max="15868" width="8.85546875" style="21"/>
    <col min="15869" max="15869" width="6.42578125" style="21" bestFit="1" customWidth="1"/>
    <col min="15870" max="15870" width="20.7109375" style="21" bestFit="1" customWidth="1"/>
    <col min="15871" max="15871" width="14.7109375" style="21" bestFit="1" customWidth="1"/>
    <col min="15872" max="15872" width="13.85546875" style="21" bestFit="1" customWidth="1"/>
    <col min="15873" max="15873" width="7.7109375" style="21" bestFit="1" customWidth="1"/>
    <col min="15874" max="15875" width="6" style="21" bestFit="1" customWidth="1"/>
    <col min="15876" max="15876" width="9.7109375" style="21" bestFit="1" customWidth="1"/>
    <col min="15877" max="15877" width="10.7109375" style="21" bestFit="1" customWidth="1"/>
    <col min="15878" max="15878" width="10" style="21" bestFit="1" customWidth="1"/>
    <col min="15879" max="15879" width="30.42578125" style="21" bestFit="1" customWidth="1"/>
    <col min="15880" max="15880" width="4.7109375" style="21" bestFit="1" customWidth="1"/>
    <col min="15881" max="16124" width="8.85546875" style="21"/>
    <col min="16125" max="16125" width="6.42578125" style="21" bestFit="1" customWidth="1"/>
    <col min="16126" max="16126" width="20.7109375" style="21" bestFit="1" customWidth="1"/>
    <col min="16127" max="16127" width="14.7109375" style="21" bestFit="1" customWidth="1"/>
    <col min="16128" max="16128" width="13.85546875" style="21" bestFit="1" customWidth="1"/>
    <col min="16129" max="16129" width="7.7109375" style="21" bestFit="1" customWidth="1"/>
    <col min="16130" max="16131" width="6" style="21" bestFit="1" customWidth="1"/>
    <col min="16132" max="16132" width="9.7109375" style="21" bestFit="1" customWidth="1"/>
    <col min="16133" max="16133" width="10.7109375" style="21" bestFit="1" customWidth="1"/>
    <col min="16134" max="16134" width="10" style="21" bestFit="1" customWidth="1"/>
    <col min="16135" max="16135" width="30.42578125" style="21" bestFit="1" customWidth="1"/>
    <col min="16136" max="16136" width="4.7109375" style="21" bestFit="1" customWidth="1"/>
    <col min="16137" max="16384" width="8.85546875" style="21"/>
  </cols>
  <sheetData>
    <row r="1" spans="1:11">
      <c r="A1" s="1297" t="s">
        <v>1180</v>
      </c>
      <c r="B1" s="1297"/>
      <c r="C1" s="1297"/>
      <c r="D1" s="1297"/>
      <c r="E1" s="1297"/>
      <c r="F1" s="1297"/>
      <c r="G1" s="1297"/>
      <c r="H1" s="1297"/>
      <c r="I1" s="1297"/>
      <c r="J1" s="1297"/>
      <c r="K1" s="1297"/>
    </row>
    <row r="2" spans="1:11" s="24" customFormat="1" ht="60">
      <c r="A2" s="94" t="s">
        <v>163</v>
      </c>
      <c r="B2" s="94" t="s">
        <v>159</v>
      </c>
      <c r="C2" s="112" t="s">
        <v>452</v>
      </c>
      <c r="D2" s="112" t="s">
        <v>453</v>
      </c>
      <c r="E2" s="96" t="s">
        <v>368</v>
      </c>
      <c r="F2" s="96" t="s">
        <v>160</v>
      </c>
      <c r="G2" s="96" t="s">
        <v>445</v>
      </c>
      <c r="H2" s="113" t="s">
        <v>369</v>
      </c>
      <c r="I2" s="113" t="s">
        <v>370</v>
      </c>
      <c r="J2" s="113" t="s">
        <v>371</v>
      </c>
    </row>
    <row r="3" spans="1:11" s="24" customFormat="1">
      <c r="A3" s="114">
        <v>1</v>
      </c>
      <c r="B3" s="115" t="s">
        <v>164</v>
      </c>
      <c r="C3" s="116">
        <v>6339.44</v>
      </c>
      <c r="D3" s="116">
        <v>674363.08</v>
      </c>
      <c r="E3" s="118">
        <v>10.77</v>
      </c>
      <c r="F3" s="118">
        <v>1.08</v>
      </c>
      <c r="G3" s="118">
        <v>0.52</v>
      </c>
      <c r="H3" s="118">
        <v>1.84</v>
      </c>
      <c r="I3" s="118">
        <v>13.24</v>
      </c>
      <c r="J3" s="118">
        <v>0.02</v>
      </c>
    </row>
    <row r="4" spans="1:11" s="24" customFormat="1">
      <c r="A4" s="114">
        <v>2</v>
      </c>
      <c r="B4" s="115" t="s">
        <v>165</v>
      </c>
      <c r="C4" s="116">
        <v>550.77</v>
      </c>
      <c r="D4" s="116">
        <v>667624.94999999995</v>
      </c>
      <c r="E4" s="118">
        <v>10.66</v>
      </c>
      <c r="F4" s="118">
        <v>1.1100000000000001</v>
      </c>
      <c r="G4" s="118">
        <v>0.68</v>
      </c>
      <c r="H4" s="118">
        <v>2.61</v>
      </c>
      <c r="I4" s="118">
        <v>10.35</v>
      </c>
      <c r="J4" s="118">
        <v>0.02</v>
      </c>
    </row>
    <row r="5" spans="1:11" s="24" customFormat="1">
      <c r="A5" s="114">
        <v>3</v>
      </c>
      <c r="B5" s="115" t="s">
        <v>167</v>
      </c>
      <c r="C5" s="116">
        <v>2129.77</v>
      </c>
      <c r="D5" s="116">
        <v>464446.87</v>
      </c>
      <c r="E5" s="118">
        <v>7.42</v>
      </c>
      <c r="F5" s="118">
        <v>0.86</v>
      </c>
      <c r="G5" s="118">
        <v>0.46</v>
      </c>
      <c r="H5" s="118">
        <v>1.1100000000000001</v>
      </c>
      <c r="I5" s="118">
        <v>1.1499999999999999</v>
      </c>
      <c r="J5" s="118">
        <v>0.03</v>
      </c>
    </row>
    <row r="6" spans="1:11" s="24" customFormat="1">
      <c r="A6" s="114">
        <v>4</v>
      </c>
      <c r="B6" s="115" t="s">
        <v>166</v>
      </c>
      <c r="C6" s="116">
        <v>359.42</v>
      </c>
      <c r="D6" s="116">
        <v>456360.37</v>
      </c>
      <c r="E6" s="118">
        <v>7.29</v>
      </c>
      <c r="F6" s="118">
        <v>1.26</v>
      </c>
      <c r="G6" s="118">
        <v>0.66</v>
      </c>
      <c r="H6" s="118">
        <v>2.73</v>
      </c>
      <c r="I6" s="118">
        <v>6.8</v>
      </c>
      <c r="J6" s="118">
        <v>0.02</v>
      </c>
    </row>
    <row r="7" spans="1:11" s="24" customFormat="1">
      <c r="A7" s="114">
        <v>5</v>
      </c>
      <c r="B7" s="115" t="s">
        <v>168</v>
      </c>
      <c r="C7" s="116">
        <v>1380.67</v>
      </c>
      <c r="D7" s="116">
        <v>412647.2</v>
      </c>
      <c r="E7" s="118">
        <v>6.59</v>
      </c>
      <c r="F7" s="118">
        <v>1.47</v>
      </c>
      <c r="G7" s="118">
        <v>0.71</v>
      </c>
      <c r="H7" s="118">
        <v>3.6</v>
      </c>
      <c r="I7" s="118">
        <v>11.31</v>
      </c>
      <c r="J7" s="118">
        <v>0.09</v>
      </c>
    </row>
    <row r="8" spans="1:11" s="24" customFormat="1">
      <c r="A8" s="114">
        <v>6</v>
      </c>
      <c r="B8" s="115" t="s">
        <v>169</v>
      </c>
      <c r="C8" s="116">
        <v>375.24</v>
      </c>
      <c r="D8" s="116">
        <v>304094.76</v>
      </c>
      <c r="E8" s="118">
        <v>4.8600000000000003</v>
      </c>
      <c r="F8" s="118">
        <v>0.74</v>
      </c>
      <c r="G8" s="118">
        <v>0.45</v>
      </c>
      <c r="H8" s="118">
        <v>1.49</v>
      </c>
      <c r="I8" s="118">
        <v>-6.98</v>
      </c>
      <c r="J8" s="118">
        <v>0.02</v>
      </c>
    </row>
    <row r="9" spans="1:11" s="24" customFormat="1">
      <c r="A9" s="114">
        <v>7</v>
      </c>
      <c r="B9" s="115" t="s">
        <v>171</v>
      </c>
      <c r="C9" s="116">
        <v>989.89</v>
      </c>
      <c r="D9" s="116">
        <v>260828.57</v>
      </c>
      <c r="E9" s="118">
        <v>4.16</v>
      </c>
      <c r="F9" s="118">
        <v>1.1000000000000001</v>
      </c>
      <c r="G9" s="118">
        <v>0.56000000000000005</v>
      </c>
      <c r="H9" s="118">
        <v>2.59</v>
      </c>
      <c r="I9" s="118">
        <v>3.93</v>
      </c>
      <c r="J9" s="118">
        <v>0.02</v>
      </c>
    </row>
    <row r="10" spans="1:11" s="24" customFormat="1">
      <c r="A10" s="114">
        <v>8</v>
      </c>
      <c r="B10" s="115" t="s">
        <v>172</v>
      </c>
      <c r="C10" s="116">
        <v>234.96</v>
      </c>
      <c r="D10" s="116">
        <v>190356.11</v>
      </c>
      <c r="E10" s="118">
        <v>3.04</v>
      </c>
      <c r="F10" s="118">
        <v>0.6</v>
      </c>
      <c r="G10" s="118">
        <v>0.32</v>
      </c>
      <c r="H10" s="118">
        <v>0.94</v>
      </c>
      <c r="I10" s="118">
        <v>-5.82</v>
      </c>
      <c r="J10" s="118">
        <v>0.02</v>
      </c>
    </row>
    <row r="11" spans="1:11" s="24" customFormat="1">
      <c r="A11" s="114">
        <v>9</v>
      </c>
      <c r="B11" s="115" t="s">
        <v>175</v>
      </c>
      <c r="C11" s="116">
        <v>612.23</v>
      </c>
      <c r="D11" s="116">
        <v>179717.57</v>
      </c>
      <c r="E11" s="118">
        <v>2.87</v>
      </c>
      <c r="F11" s="118">
        <v>1.59</v>
      </c>
      <c r="G11" s="118">
        <v>0.6</v>
      </c>
      <c r="H11" s="118">
        <v>3.22</v>
      </c>
      <c r="I11" s="118">
        <v>9.34</v>
      </c>
      <c r="J11" s="118">
        <v>0.03</v>
      </c>
    </row>
    <row r="12" spans="1:11" s="24" customFormat="1">
      <c r="A12" s="114">
        <v>10</v>
      </c>
      <c r="B12" s="115" t="s">
        <v>170</v>
      </c>
      <c r="C12" s="116">
        <v>1230.5</v>
      </c>
      <c r="D12" s="116">
        <v>178095.1</v>
      </c>
      <c r="E12" s="118">
        <v>2.84</v>
      </c>
      <c r="F12" s="118">
        <v>0.66</v>
      </c>
      <c r="G12" s="118">
        <v>0.28000000000000003</v>
      </c>
      <c r="H12" s="118">
        <v>2.52</v>
      </c>
      <c r="I12" s="118">
        <v>0.3</v>
      </c>
      <c r="J12" s="118">
        <v>0.03</v>
      </c>
    </row>
    <row r="13" spans="1:11" s="24" customFormat="1">
      <c r="A13" s="114">
        <v>11</v>
      </c>
      <c r="B13" s="115" t="s">
        <v>174</v>
      </c>
      <c r="C13" s="116">
        <v>280.85000000000002</v>
      </c>
      <c r="D13" s="117">
        <v>174205.06</v>
      </c>
      <c r="E13" s="118">
        <v>2.78</v>
      </c>
      <c r="F13" s="118">
        <v>0.99</v>
      </c>
      <c r="G13" s="118">
        <v>0.56000000000000005</v>
      </c>
      <c r="H13" s="118">
        <v>2.79</v>
      </c>
      <c r="I13" s="118">
        <v>8.08</v>
      </c>
      <c r="J13" s="118">
        <v>0.02</v>
      </c>
    </row>
    <row r="14" spans="1:11" s="24" customFormat="1">
      <c r="A14" s="114">
        <v>12</v>
      </c>
      <c r="B14" s="115" t="s">
        <v>179</v>
      </c>
      <c r="C14" s="116">
        <v>892.46</v>
      </c>
      <c r="D14" s="117">
        <v>149723.29999999999</v>
      </c>
      <c r="E14" s="118">
        <v>2.39</v>
      </c>
      <c r="F14" s="118">
        <v>1.2</v>
      </c>
      <c r="G14" s="118">
        <v>0.56000000000000005</v>
      </c>
      <c r="H14" s="118">
        <v>3.96</v>
      </c>
      <c r="I14" s="118">
        <v>38.299999999999997</v>
      </c>
      <c r="J14" s="118">
        <v>0.03</v>
      </c>
    </row>
    <row r="15" spans="1:11" s="24" customFormat="1">
      <c r="A15" s="114">
        <v>13</v>
      </c>
      <c r="B15" s="115" t="s">
        <v>181</v>
      </c>
      <c r="C15" s="116">
        <v>120.52</v>
      </c>
      <c r="D15" s="117">
        <v>139592.73000000001</v>
      </c>
      <c r="E15" s="118">
        <v>2.23</v>
      </c>
      <c r="F15" s="118">
        <v>1.48</v>
      </c>
      <c r="G15" s="118">
        <v>0.56000000000000005</v>
      </c>
      <c r="H15" s="118">
        <v>2.66</v>
      </c>
      <c r="I15" s="118">
        <v>11.2</v>
      </c>
      <c r="J15" s="118">
        <v>0.02</v>
      </c>
    </row>
    <row r="16" spans="1:11" s="24" customFormat="1">
      <c r="A16" s="114">
        <v>14</v>
      </c>
      <c r="B16" s="115" t="s">
        <v>173</v>
      </c>
      <c r="C16" s="116">
        <v>2727.78</v>
      </c>
      <c r="D16" s="117">
        <v>133536.76999999999</v>
      </c>
      <c r="E16" s="118">
        <v>2.13</v>
      </c>
      <c r="F16" s="118">
        <v>0.8</v>
      </c>
      <c r="G16" s="118">
        <v>0.34</v>
      </c>
      <c r="H16" s="118">
        <v>2.13</v>
      </c>
      <c r="I16" s="118">
        <v>0.49</v>
      </c>
      <c r="J16" s="118">
        <v>0.03</v>
      </c>
    </row>
    <row r="17" spans="1:10" s="24" customFormat="1">
      <c r="A17" s="114">
        <v>15</v>
      </c>
      <c r="B17" s="115" t="s">
        <v>176</v>
      </c>
      <c r="C17" s="116">
        <v>95.92</v>
      </c>
      <c r="D17" s="116">
        <v>102661.4</v>
      </c>
      <c r="E17" s="118">
        <v>1.64</v>
      </c>
      <c r="F17" s="118">
        <v>0.7</v>
      </c>
      <c r="G17" s="118">
        <v>0.38</v>
      </c>
      <c r="H17" s="118">
        <v>1.85</v>
      </c>
      <c r="I17" s="118">
        <v>-5.41</v>
      </c>
      <c r="J17" s="118">
        <v>0.02</v>
      </c>
    </row>
    <row r="18" spans="1:10" s="24" customFormat="1">
      <c r="A18" s="114">
        <v>16</v>
      </c>
      <c r="B18" s="115" t="s">
        <v>180</v>
      </c>
      <c r="C18" s="116">
        <v>542.73</v>
      </c>
      <c r="D18" s="116">
        <v>98717.71</v>
      </c>
      <c r="E18" s="118">
        <v>1.58</v>
      </c>
      <c r="F18" s="118">
        <v>0.77</v>
      </c>
      <c r="G18" s="118">
        <v>0.37</v>
      </c>
      <c r="H18" s="118">
        <v>1.36</v>
      </c>
      <c r="I18" s="118">
        <v>-0.5</v>
      </c>
      <c r="J18" s="118">
        <v>0.03</v>
      </c>
    </row>
    <row r="19" spans="1:10" s="24" customFormat="1">
      <c r="A19" s="114">
        <v>17</v>
      </c>
      <c r="B19" s="115" t="s">
        <v>177</v>
      </c>
      <c r="C19" s="116">
        <v>151.04</v>
      </c>
      <c r="D19" s="116">
        <v>91261.59</v>
      </c>
      <c r="E19" s="118">
        <v>1.46</v>
      </c>
      <c r="F19" s="118">
        <v>1.1200000000000001</v>
      </c>
      <c r="G19" s="118">
        <v>0.55000000000000004</v>
      </c>
      <c r="H19" s="118">
        <v>1.65</v>
      </c>
      <c r="I19" s="118">
        <v>-4.72</v>
      </c>
      <c r="J19" s="118">
        <v>0.03</v>
      </c>
    </row>
    <row r="20" spans="1:10" s="24" customFormat="1">
      <c r="A20" s="114">
        <v>18</v>
      </c>
      <c r="B20" s="115" t="s">
        <v>186</v>
      </c>
      <c r="C20" s="116">
        <v>621.6</v>
      </c>
      <c r="D20" s="116">
        <v>77193.31</v>
      </c>
      <c r="E20" s="118">
        <v>1.23</v>
      </c>
      <c r="F20" s="118">
        <v>1.04</v>
      </c>
      <c r="G20" s="118">
        <v>0.42</v>
      </c>
      <c r="H20" s="118">
        <v>3.18</v>
      </c>
      <c r="I20" s="118">
        <v>7.58</v>
      </c>
      <c r="J20" s="118">
        <v>0.02</v>
      </c>
    </row>
    <row r="21" spans="1:10" s="24" customFormat="1">
      <c r="A21" s="114">
        <v>19</v>
      </c>
      <c r="B21" s="115" t="s">
        <v>185</v>
      </c>
      <c r="C21" s="116">
        <v>288.64</v>
      </c>
      <c r="D21" s="116">
        <v>70600.59</v>
      </c>
      <c r="E21" s="118">
        <v>1.1299999999999999</v>
      </c>
      <c r="F21" s="118">
        <v>0.96</v>
      </c>
      <c r="G21" s="118">
        <v>0.56999999999999995</v>
      </c>
      <c r="H21" s="118">
        <v>2.64</v>
      </c>
      <c r="I21" s="118">
        <v>14.79</v>
      </c>
      <c r="J21" s="118">
        <v>0.03</v>
      </c>
    </row>
    <row r="22" spans="1:10" s="24" customFormat="1">
      <c r="A22" s="114">
        <v>20</v>
      </c>
      <c r="B22" s="115" t="s">
        <v>182</v>
      </c>
      <c r="C22" s="116">
        <v>239.93</v>
      </c>
      <c r="D22" s="116">
        <v>64199.01</v>
      </c>
      <c r="E22" s="118">
        <v>1.03</v>
      </c>
      <c r="F22" s="118">
        <v>0.63</v>
      </c>
      <c r="G22" s="118">
        <v>0.27</v>
      </c>
      <c r="H22" s="118">
        <v>1.71</v>
      </c>
      <c r="I22" s="118">
        <v>1.43</v>
      </c>
      <c r="J22" s="118">
        <v>0.03</v>
      </c>
    </row>
    <row r="23" spans="1:10" s="24" customFormat="1">
      <c r="A23" s="114">
        <v>21</v>
      </c>
      <c r="B23" s="115" t="s">
        <v>193</v>
      </c>
      <c r="C23" s="116">
        <v>1143.07</v>
      </c>
      <c r="D23" s="116">
        <v>60970.080000000002</v>
      </c>
      <c r="E23" s="118">
        <v>0.97</v>
      </c>
      <c r="F23" s="118">
        <v>0.67</v>
      </c>
      <c r="G23" s="118">
        <v>0.28000000000000003</v>
      </c>
      <c r="H23" s="118">
        <v>1.34</v>
      </c>
      <c r="I23" s="118">
        <v>-1.82</v>
      </c>
      <c r="J23" s="118">
        <v>0.03</v>
      </c>
    </row>
    <row r="24" spans="1:10" s="24" customFormat="1">
      <c r="A24" s="114">
        <v>22</v>
      </c>
      <c r="B24" s="115" t="s">
        <v>201</v>
      </c>
      <c r="C24" s="116">
        <v>757</v>
      </c>
      <c r="D24" s="117">
        <v>60349.29</v>
      </c>
      <c r="E24" s="118">
        <v>0.96</v>
      </c>
      <c r="F24" s="118">
        <v>1.71</v>
      </c>
      <c r="G24" s="118">
        <v>0.36</v>
      </c>
      <c r="H24" s="118">
        <v>4.03</v>
      </c>
      <c r="I24" s="118">
        <v>25.63</v>
      </c>
      <c r="J24" s="118">
        <v>0.1</v>
      </c>
    </row>
    <row r="25" spans="1:10" s="24" customFormat="1">
      <c r="A25" s="114">
        <v>23</v>
      </c>
      <c r="B25" s="115" t="s">
        <v>189</v>
      </c>
      <c r="C25" s="116">
        <v>88.78</v>
      </c>
      <c r="D25" s="116">
        <v>58704.24</v>
      </c>
      <c r="E25" s="118">
        <v>0.94</v>
      </c>
      <c r="F25" s="118">
        <v>0.88</v>
      </c>
      <c r="G25" s="118">
        <v>0.47</v>
      </c>
      <c r="H25" s="118">
        <v>1.95</v>
      </c>
      <c r="I25" s="118">
        <v>-0.94</v>
      </c>
      <c r="J25" s="118">
        <v>0.02</v>
      </c>
    </row>
    <row r="26" spans="1:10" s="24" customFormat="1">
      <c r="A26" s="114">
        <v>24</v>
      </c>
      <c r="B26" s="115" t="s">
        <v>199</v>
      </c>
      <c r="C26" s="116">
        <v>79.569999999999993</v>
      </c>
      <c r="D26" s="116">
        <v>58347.23</v>
      </c>
      <c r="E26" s="118">
        <v>0.93</v>
      </c>
      <c r="F26" s="118">
        <v>1.35</v>
      </c>
      <c r="G26" s="118">
        <v>0.57999999999999996</v>
      </c>
      <c r="H26" s="118">
        <v>3.27</v>
      </c>
      <c r="I26" s="118">
        <v>10.61</v>
      </c>
      <c r="J26" s="118">
        <v>0.03</v>
      </c>
    </row>
    <row r="27" spans="1:10" s="24" customFormat="1">
      <c r="A27" s="114">
        <v>25</v>
      </c>
      <c r="B27" s="115" t="s">
        <v>210</v>
      </c>
      <c r="C27" s="116">
        <v>617.79</v>
      </c>
      <c r="D27" s="116">
        <v>57859.88</v>
      </c>
      <c r="E27" s="118">
        <v>0.92</v>
      </c>
      <c r="F27" s="118">
        <v>1.27</v>
      </c>
      <c r="G27" s="118">
        <v>0.41</v>
      </c>
      <c r="H27" s="118">
        <v>4.55</v>
      </c>
      <c r="I27" s="118">
        <v>22.93</v>
      </c>
      <c r="J27" s="118">
        <v>0.03</v>
      </c>
    </row>
    <row r="28" spans="1:10" s="24" customFormat="1">
      <c r="A28" s="114">
        <v>26</v>
      </c>
      <c r="B28" s="115" t="s">
        <v>178</v>
      </c>
      <c r="C28" s="116">
        <v>96.42</v>
      </c>
      <c r="D28" s="117">
        <v>57440.55</v>
      </c>
      <c r="E28" s="118">
        <v>0.92</v>
      </c>
      <c r="F28" s="118">
        <v>0.56000000000000005</v>
      </c>
      <c r="G28" s="118">
        <v>0.28999999999999998</v>
      </c>
      <c r="H28" s="118">
        <v>1.1299999999999999</v>
      </c>
      <c r="I28" s="118">
        <v>-5.62</v>
      </c>
      <c r="J28" s="118">
        <v>0.03</v>
      </c>
    </row>
    <row r="29" spans="1:10" s="24" customFormat="1">
      <c r="A29" s="114">
        <v>27</v>
      </c>
      <c r="B29" s="115" t="s">
        <v>192</v>
      </c>
      <c r="C29" s="116">
        <v>483.65</v>
      </c>
      <c r="D29" s="116">
        <v>56882.87</v>
      </c>
      <c r="E29" s="118">
        <v>0.91</v>
      </c>
      <c r="F29" s="118">
        <v>0.85</v>
      </c>
      <c r="G29" s="118">
        <v>0.4</v>
      </c>
      <c r="H29" s="118">
        <v>1.95</v>
      </c>
      <c r="I29" s="118">
        <v>-4.43</v>
      </c>
      <c r="J29" s="118">
        <v>0.03</v>
      </c>
    </row>
    <row r="30" spans="1:10" s="24" customFormat="1">
      <c r="A30" s="114">
        <v>28</v>
      </c>
      <c r="B30" s="115" t="s">
        <v>361</v>
      </c>
      <c r="C30" s="116">
        <v>2019.93</v>
      </c>
      <c r="D30" s="116">
        <v>55195.31</v>
      </c>
      <c r="E30" s="118">
        <v>0.88</v>
      </c>
      <c r="F30" s="118">
        <v>1.04</v>
      </c>
      <c r="G30" s="118">
        <v>0.51</v>
      </c>
      <c r="H30" s="118">
        <v>2.02</v>
      </c>
      <c r="I30" s="118">
        <v>3.35</v>
      </c>
      <c r="J30" s="118">
        <v>0.02</v>
      </c>
    </row>
    <row r="31" spans="1:10" s="24" customFormat="1">
      <c r="A31" s="114">
        <v>29</v>
      </c>
      <c r="B31" s="115" t="s">
        <v>187</v>
      </c>
      <c r="C31" s="116">
        <v>5231.59</v>
      </c>
      <c r="D31" s="117">
        <v>54935.35</v>
      </c>
      <c r="E31" s="118">
        <v>0.88</v>
      </c>
      <c r="F31" s="118">
        <v>0.62</v>
      </c>
      <c r="G31" s="118">
        <v>0.3</v>
      </c>
      <c r="H31" s="118">
        <v>2.8</v>
      </c>
      <c r="I31" s="118">
        <v>16.18</v>
      </c>
      <c r="J31" s="118">
        <v>0.04</v>
      </c>
    </row>
    <row r="32" spans="1:10" s="24" customFormat="1">
      <c r="A32" s="114">
        <v>30</v>
      </c>
      <c r="B32" s="115" t="s">
        <v>205</v>
      </c>
      <c r="C32" s="116">
        <v>1126.49</v>
      </c>
      <c r="D32" s="116">
        <v>53975.8</v>
      </c>
      <c r="E32" s="118">
        <v>0.86</v>
      </c>
      <c r="F32" s="118">
        <v>1.06</v>
      </c>
      <c r="G32" s="118">
        <v>0.46</v>
      </c>
      <c r="H32" s="118">
        <v>2.77</v>
      </c>
      <c r="I32" s="118">
        <v>18.989999999999998</v>
      </c>
      <c r="J32" s="118">
        <v>0.03</v>
      </c>
    </row>
    <row r="33" spans="1:10" s="24" customFormat="1">
      <c r="A33" s="114">
        <v>31</v>
      </c>
      <c r="B33" s="115" t="s">
        <v>183</v>
      </c>
      <c r="C33" s="116">
        <v>83.15</v>
      </c>
      <c r="D33" s="116">
        <v>53737.27</v>
      </c>
      <c r="E33" s="118">
        <v>0.86</v>
      </c>
      <c r="F33" s="118">
        <v>0.46</v>
      </c>
      <c r="G33" s="118">
        <v>0.17</v>
      </c>
      <c r="H33" s="118">
        <v>1.92</v>
      </c>
      <c r="I33" s="118">
        <v>-3.83</v>
      </c>
      <c r="J33" s="118">
        <v>0.02</v>
      </c>
    </row>
    <row r="34" spans="1:10" s="24" customFormat="1">
      <c r="A34" s="114">
        <v>32</v>
      </c>
      <c r="B34" s="115" t="s">
        <v>184</v>
      </c>
      <c r="C34" s="116">
        <v>9894.56</v>
      </c>
      <c r="D34" s="116">
        <v>52022.61</v>
      </c>
      <c r="E34" s="118">
        <v>0.83</v>
      </c>
      <c r="F34" s="118">
        <v>0.67</v>
      </c>
      <c r="G34" s="118">
        <v>0.31</v>
      </c>
      <c r="H34" s="118">
        <v>1.98</v>
      </c>
      <c r="I34" s="118">
        <v>20.63</v>
      </c>
      <c r="J34" s="118">
        <v>0.04</v>
      </c>
    </row>
    <row r="35" spans="1:10" s="24" customFormat="1">
      <c r="A35" s="114">
        <v>33</v>
      </c>
      <c r="B35" s="115" t="s">
        <v>207</v>
      </c>
      <c r="C35" s="116">
        <v>224.66</v>
      </c>
      <c r="D35" s="117">
        <v>49685.99</v>
      </c>
      <c r="E35" s="118">
        <v>0.79</v>
      </c>
      <c r="F35" s="118">
        <v>1.37</v>
      </c>
      <c r="G35" s="118">
        <v>0.54</v>
      </c>
      <c r="H35" s="118">
        <v>2.86</v>
      </c>
      <c r="I35" s="118">
        <v>50.35</v>
      </c>
      <c r="J35" s="118">
        <v>0.03</v>
      </c>
    </row>
    <row r="36" spans="1:10" s="24" customFormat="1">
      <c r="A36" s="114">
        <v>34</v>
      </c>
      <c r="B36" s="115" t="s">
        <v>190</v>
      </c>
      <c r="C36" s="116">
        <v>289.37</v>
      </c>
      <c r="D36" s="117">
        <v>49464.83</v>
      </c>
      <c r="E36" s="118">
        <v>0.79</v>
      </c>
      <c r="F36" s="118">
        <v>0.82</v>
      </c>
      <c r="G36" s="118">
        <v>0.44</v>
      </c>
      <c r="H36" s="118">
        <v>1.48</v>
      </c>
      <c r="I36" s="118">
        <v>-5.17</v>
      </c>
      <c r="J36" s="118">
        <v>0.03</v>
      </c>
    </row>
    <row r="37" spans="1:10" s="24" customFormat="1">
      <c r="A37" s="114">
        <v>35</v>
      </c>
      <c r="B37" s="115" t="s">
        <v>200</v>
      </c>
      <c r="C37" s="116">
        <v>406.35</v>
      </c>
      <c r="D37" s="117">
        <v>49437.4</v>
      </c>
      <c r="E37" s="118">
        <v>0.79</v>
      </c>
      <c r="F37" s="118">
        <v>0.93</v>
      </c>
      <c r="G37" s="118">
        <v>0.41</v>
      </c>
      <c r="H37" s="118">
        <v>2.4700000000000002</v>
      </c>
      <c r="I37" s="118">
        <v>32.61</v>
      </c>
      <c r="J37" s="118">
        <v>0.04</v>
      </c>
    </row>
    <row r="38" spans="1:10" s="24" customFormat="1">
      <c r="A38" s="114">
        <v>36</v>
      </c>
      <c r="B38" s="115" t="s">
        <v>202</v>
      </c>
      <c r="C38" s="116">
        <v>131.59</v>
      </c>
      <c r="D38" s="116">
        <v>46613.15</v>
      </c>
      <c r="E38" s="118">
        <v>0.74</v>
      </c>
      <c r="F38" s="118">
        <v>1.1299999999999999</v>
      </c>
      <c r="G38" s="118">
        <v>0.56000000000000005</v>
      </c>
      <c r="H38" s="118">
        <v>2.39</v>
      </c>
      <c r="I38" s="118">
        <v>13.75</v>
      </c>
      <c r="J38" s="118">
        <v>0.03</v>
      </c>
    </row>
    <row r="39" spans="1:10" s="24" customFormat="1">
      <c r="A39" s="114">
        <v>37</v>
      </c>
      <c r="B39" s="115" t="s">
        <v>387</v>
      </c>
      <c r="C39" s="116">
        <v>53.09</v>
      </c>
      <c r="D39" s="116">
        <v>42854.27</v>
      </c>
      <c r="E39" s="118">
        <v>0.68</v>
      </c>
      <c r="F39" s="118">
        <v>0.6</v>
      </c>
      <c r="G39" s="118">
        <v>0.25</v>
      </c>
      <c r="H39" s="118">
        <v>1.81</v>
      </c>
      <c r="I39" s="118">
        <v>-0.2</v>
      </c>
      <c r="J39" s="118">
        <v>0.02</v>
      </c>
    </row>
    <row r="40" spans="1:10" s="24" customFormat="1">
      <c r="A40" s="114">
        <v>38</v>
      </c>
      <c r="B40" s="115" t="s">
        <v>194</v>
      </c>
      <c r="C40" s="116">
        <v>39.950000000000003</v>
      </c>
      <c r="D40" s="116">
        <v>41863.300000000003</v>
      </c>
      <c r="E40" s="118">
        <v>0.67</v>
      </c>
      <c r="F40" s="118">
        <v>0.86</v>
      </c>
      <c r="G40" s="118">
        <v>0.38</v>
      </c>
      <c r="H40" s="118">
        <v>2.19</v>
      </c>
      <c r="I40" s="118">
        <v>-0.98</v>
      </c>
      <c r="J40" s="118">
        <v>0.02</v>
      </c>
    </row>
    <row r="41" spans="1:10" s="24" customFormat="1">
      <c r="A41" s="114">
        <v>39</v>
      </c>
      <c r="B41" s="115" t="s">
        <v>195</v>
      </c>
      <c r="C41" s="116">
        <v>6290.14</v>
      </c>
      <c r="D41" s="117">
        <v>40495.919999999998</v>
      </c>
      <c r="E41" s="118">
        <v>0.65</v>
      </c>
      <c r="F41" s="118">
        <v>1.04</v>
      </c>
      <c r="G41" s="118">
        <v>0.33</v>
      </c>
      <c r="H41" s="118">
        <v>3.52</v>
      </c>
      <c r="I41" s="118">
        <v>25.71</v>
      </c>
      <c r="J41" s="118">
        <v>0.04</v>
      </c>
    </row>
    <row r="42" spans="1:10" s="24" customFormat="1">
      <c r="A42" s="114">
        <v>40</v>
      </c>
      <c r="B42" s="115" t="s">
        <v>191</v>
      </c>
      <c r="C42" s="116">
        <v>161.29</v>
      </c>
      <c r="D42" s="116">
        <v>39986.94</v>
      </c>
      <c r="E42" s="118">
        <v>0.64</v>
      </c>
      <c r="F42" s="118">
        <v>0.44</v>
      </c>
      <c r="G42" s="118">
        <v>0.12</v>
      </c>
      <c r="H42" s="118">
        <v>1.74</v>
      </c>
      <c r="I42" s="118">
        <v>-4.7</v>
      </c>
      <c r="J42" s="118">
        <v>0.02</v>
      </c>
    </row>
    <row r="43" spans="1:10" s="24" customFormat="1">
      <c r="A43" s="114">
        <v>41</v>
      </c>
      <c r="B43" s="115" t="s">
        <v>188</v>
      </c>
      <c r="C43" s="116">
        <v>24.09</v>
      </c>
      <c r="D43" s="116">
        <v>39700.82</v>
      </c>
      <c r="E43" s="118">
        <v>0.63</v>
      </c>
      <c r="F43" s="118">
        <v>0.71</v>
      </c>
      <c r="G43" s="118">
        <v>0.39</v>
      </c>
      <c r="H43" s="118">
        <v>1</v>
      </c>
      <c r="I43" s="118">
        <v>-3.92</v>
      </c>
      <c r="J43" s="118">
        <v>0.02</v>
      </c>
    </row>
    <row r="44" spans="1:10" s="24" customFormat="1">
      <c r="A44" s="114">
        <v>42</v>
      </c>
      <c r="B44" s="115" t="s">
        <v>208</v>
      </c>
      <c r="C44" s="116">
        <v>241.72</v>
      </c>
      <c r="D44" s="116">
        <v>38235.589999999997</v>
      </c>
      <c r="E44" s="118">
        <v>0.61</v>
      </c>
      <c r="F44" s="118">
        <v>1.23</v>
      </c>
      <c r="G44" s="118">
        <v>0.62</v>
      </c>
      <c r="H44" s="118">
        <v>2.41</v>
      </c>
      <c r="I44" s="118">
        <v>7.8</v>
      </c>
      <c r="J44" s="118">
        <v>0.04</v>
      </c>
    </row>
    <row r="45" spans="1:10" s="24" customFormat="1">
      <c r="A45" s="114">
        <v>43</v>
      </c>
      <c r="B45" s="115" t="s">
        <v>198</v>
      </c>
      <c r="C45" s="116">
        <v>2169.25</v>
      </c>
      <c r="D45" s="116">
        <v>36106.019999999997</v>
      </c>
      <c r="E45" s="118">
        <v>0.57999999999999996</v>
      </c>
      <c r="F45" s="118">
        <v>1.05</v>
      </c>
      <c r="G45" s="118">
        <v>0.41</v>
      </c>
      <c r="H45" s="118">
        <v>2.12</v>
      </c>
      <c r="I45" s="118">
        <v>17.27</v>
      </c>
      <c r="J45" s="118">
        <v>0.03</v>
      </c>
    </row>
    <row r="46" spans="1:10" s="24" customFormat="1">
      <c r="A46" s="114">
        <v>44</v>
      </c>
      <c r="B46" s="115" t="s">
        <v>197</v>
      </c>
      <c r="C46" s="116">
        <v>36.08</v>
      </c>
      <c r="D46" s="116">
        <v>35379.440000000002</v>
      </c>
      <c r="E46" s="118">
        <v>0.56000000000000005</v>
      </c>
      <c r="F46" s="118">
        <v>0.87</v>
      </c>
      <c r="G46" s="118">
        <v>0.49</v>
      </c>
      <c r="H46" s="118">
        <v>3.03</v>
      </c>
      <c r="I46" s="118">
        <v>16.37</v>
      </c>
      <c r="J46" s="118">
        <v>0.03</v>
      </c>
    </row>
    <row r="47" spans="1:10" s="24" customFormat="1">
      <c r="A47" s="114">
        <v>45</v>
      </c>
      <c r="B47" s="115" t="s">
        <v>203</v>
      </c>
      <c r="C47" s="116">
        <v>27.32</v>
      </c>
      <c r="D47" s="116">
        <v>34819.58</v>
      </c>
      <c r="E47" s="118">
        <v>0.56000000000000005</v>
      </c>
      <c r="F47" s="118">
        <v>0.87</v>
      </c>
      <c r="G47" s="118">
        <v>0.42</v>
      </c>
      <c r="H47" s="118">
        <v>1.84</v>
      </c>
      <c r="I47" s="118">
        <v>-8.9499999999999993</v>
      </c>
      <c r="J47" s="118">
        <v>0.02</v>
      </c>
    </row>
    <row r="48" spans="1:10" s="24" customFormat="1">
      <c r="A48" s="114">
        <v>46</v>
      </c>
      <c r="B48" s="115" t="s">
        <v>388</v>
      </c>
      <c r="C48" s="116">
        <v>1000.05</v>
      </c>
      <c r="D48" s="117">
        <v>33810.76</v>
      </c>
      <c r="E48" s="118">
        <v>0.54</v>
      </c>
      <c r="F48" s="118">
        <v>0.86</v>
      </c>
      <c r="G48" s="118">
        <v>0.48</v>
      </c>
      <c r="H48" s="118">
        <v>1.63</v>
      </c>
      <c r="I48" s="118">
        <v>0.28000000000000003</v>
      </c>
      <c r="J48" s="118">
        <v>0.03</v>
      </c>
    </row>
    <row r="49" spans="1:10" s="24" customFormat="1">
      <c r="A49" s="114">
        <v>47</v>
      </c>
      <c r="B49" s="115" t="s">
        <v>196</v>
      </c>
      <c r="C49" s="116">
        <v>6162.73</v>
      </c>
      <c r="D49" s="117">
        <v>31890.89</v>
      </c>
      <c r="E49" s="118">
        <v>0.51</v>
      </c>
      <c r="F49" s="118">
        <v>0.67</v>
      </c>
      <c r="G49" s="118">
        <v>0.26</v>
      </c>
      <c r="H49" s="118">
        <v>2.9</v>
      </c>
      <c r="I49" s="118">
        <v>20.89</v>
      </c>
      <c r="J49" s="118">
        <v>0.04</v>
      </c>
    </row>
    <row r="50" spans="1:10" s="24" customFormat="1">
      <c r="A50" s="114">
        <v>48</v>
      </c>
      <c r="B50" s="115" t="s">
        <v>204</v>
      </c>
      <c r="C50" s="116">
        <v>152.81</v>
      </c>
      <c r="D50" s="116">
        <v>30891.58</v>
      </c>
      <c r="E50" s="118">
        <v>0.49</v>
      </c>
      <c r="F50" s="118">
        <v>1.04</v>
      </c>
      <c r="G50" s="118">
        <v>0.36</v>
      </c>
      <c r="H50" s="118">
        <v>3.1</v>
      </c>
      <c r="I50" s="118">
        <v>0.16</v>
      </c>
      <c r="J50" s="118">
        <v>0.03</v>
      </c>
    </row>
    <row r="51" spans="1:10" s="24" customFormat="1">
      <c r="A51" s="114">
        <v>49</v>
      </c>
      <c r="B51" s="115" t="s">
        <v>209</v>
      </c>
      <c r="C51" s="116">
        <v>4510.1400000000003</v>
      </c>
      <c r="D51" s="116">
        <v>26221.06</v>
      </c>
      <c r="E51" s="118">
        <v>0.42</v>
      </c>
      <c r="F51" s="118">
        <v>0.8</v>
      </c>
      <c r="G51" s="118">
        <v>0.28000000000000003</v>
      </c>
      <c r="H51" s="118">
        <v>2.52</v>
      </c>
      <c r="I51" s="118">
        <v>13.17</v>
      </c>
      <c r="J51" s="118">
        <v>0.04</v>
      </c>
    </row>
    <row r="52" spans="1:10" s="24" customFormat="1">
      <c r="A52" s="114">
        <v>50</v>
      </c>
      <c r="B52" s="115" t="s">
        <v>206</v>
      </c>
      <c r="C52" s="116">
        <v>9414.16</v>
      </c>
      <c r="D52" s="116">
        <v>24922.57</v>
      </c>
      <c r="E52" s="118">
        <v>0.4</v>
      </c>
      <c r="F52" s="118">
        <v>0.72</v>
      </c>
      <c r="G52" s="118">
        <v>0.4</v>
      </c>
      <c r="H52" s="118">
        <v>2.4700000000000002</v>
      </c>
      <c r="I52" s="118">
        <v>5.15</v>
      </c>
      <c r="J52" s="118">
        <v>0.04</v>
      </c>
    </row>
    <row r="53" spans="1:10" s="24" customFormat="1">
      <c r="A53" s="1215" t="s">
        <v>495</v>
      </c>
      <c r="B53" s="1215"/>
      <c r="C53" s="1215"/>
      <c r="D53" s="1215"/>
      <c r="E53" s="1215"/>
      <c r="F53" s="1215"/>
      <c r="G53" s="1215"/>
      <c r="H53" s="1215"/>
      <c r="I53" s="1215"/>
      <c r="J53" s="1215"/>
    </row>
    <row r="54" spans="1:10" s="24" customFormat="1">
      <c r="A54" s="1215" t="s">
        <v>449</v>
      </c>
      <c r="B54" s="1215"/>
      <c r="C54" s="1215"/>
      <c r="D54" s="1215"/>
      <c r="E54" s="1215"/>
      <c r="F54" s="1215"/>
      <c r="G54" s="1215"/>
      <c r="H54" s="1215"/>
      <c r="I54" s="1215"/>
      <c r="J54" s="1215"/>
    </row>
    <row r="55" spans="1:10" s="24" customFormat="1">
      <c r="A55" s="1215" t="s">
        <v>211</v>
      </c>
      <c r="B55" s="1215"/>
      <c r="C55" s="1215"/>
      <c r="D55" s="1215"/>
      <c r="E55" s="1215"/>
      <c r="F55" s="1215"/>
      <c r="G55" s="1215"/>
      <c r="H55" s="1215"/>
      <c r="I55" s="1215"/>
      <c r="J55" s="1215"/>
    </row>
    <row r="56" spans="1:10" s="24" customFormat="1">
      <c r="A56" s="1215" t="s">
        <v>162</v>
      </c>
      <c r="B56" s="1215"/>
      <c r="C56" s="1215"/>
      <c r="D56" s="1215"/>
      <c r="E56" s="1215"/>
      <c r="F56" s="1215"/>
      <c r="G56" s="1215"/>
      <c r="H56" s="1215"/>
      <c r="I56" s="1215"/>
      <c r="J56" s="1215"/>
    </row>
    <row r="57" spans="1:10" s="24" customFormat="1">
      <c r="A57" s="1298" t="s">
        <v>427</v>
      </c>
      <c r="B57" s="1298"/>
      <c r="C57" s="1298"/>
      <c r="D57" s="1298"/>
      <c r="E57" s="1298"/>
      <c r="F57" s="1298"/>
      <c r="G57" s="1298"/>
      <c r="H57" s="1298"/>
      <c r="I57" s="1298"/>
      <c r="J57" s="1298"/>
    </row>
    <row r="58" spans="1:10" s="24" customFormat="1">
      <c r="A58" s="1215" t="s">
        <v>157</v>
      </c>
      <c r="B58" s="1215"/>
      <c r="C58" s="1215"/>
      <c r="D58" s="1215"/>
      <c r="E58" s="1215"/>
      <c r="F58" s="1215"/>
      <c r="G58" s="1215"/>
      <c r="H58" s="1215"/>
      <c r="I58" s="1215"/>
      <c r="J58" s="1215"/>
    </row>
    <row r="59" spans="1:10" s="24" customFormat="1"/>
  </sheetData>
  <sortState ref="B3:J52">
    <sortCondition descending="1" ref="D3:D52"/>
  </sortState>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49"/>
  <sheetViews>
    <sheetView workbookViewId="0">
      <selection activeCell="H49" sqref="H49"/>
    </sheetView>
  </sheetViews>
  <sheetFormatPr defaultColWidth="8.85546875" defaultRowHeight="15"/>
  <cols>
    <col min="1" max="1" width="6.28515625" style="21" bestFit="1" customWidth="1"/>
    <col min="2" max="2" width="52.140625" style="21" customWidth="1"/>
    <col min="3" max="3" width="13.28515625" style="110" bestFit="1" customWidth="1"/>
    <col min="4" max="4" width="13" style="110" bestFit="1" customWidth="1"/>
    <col min="5" max="5" width="10.42578125" style="111" bestFit="1" customWidth="1"/>
    <col min="6" max="6" width="7.42578125" style="110" bestFit="1" customWidth="1"/>
    <col min="7" max="7" width="6.140625" style="110" bestFit="1" customWidth="1"/>
    <col min="8" max="8" width="10.28515625" style="110" bestFit="1" customWidth="1"/>
    <col min="9" max="9" width="12.42578125" style="110" bestFit="1" customWidth="1"/>
    <col min="10" max="10" width="12.140625" style="110" bestFit="1" customWidth="1"/>
    <col min="11" max="253" width="8.85546875" style="21"/>
    <col min="254" max="254" width="6.28515625" style="21" bestFit="1" customWidth="1"/>
    <col min="255" max="255" width="40.28515625" style="21" bestFit="1" customWidth="1"/>
    <col min="256" max="256" width="13.28515625" style="21" bestFit="1" customWidth="1"/>
    <col min="257" max="257" width="13" style="21" bestFit="1" customWidth="1"/>
    <col min="258" max="258" width="10.42578125" style="21" bestFit="1" customWidth="1"/>
    <col min="259" max="259" width="7.42578125" style="21" bestFit="1" customWidth="1"/>
    <col min="260" max="260" width="6.140625" style="21" bestFit="1" customWidth="1"/>
    <col min="261" max="261" width="10.28515625" style="21" bestFit="1" customWidth="1"/>
    <col min="262" max="262" width="12.42578125" style="21" bestFit="1" customWidth="1"/>
    <col min="263" max="263" width="12.140625" style="21" bestFit="1" customWidth="1"/>
    <col min="264" max="264" width="14.28515625" style="21" bestFit="1" customWidth="1"/>
    <col min="265" max="265" width="4.7109375" style="21" bestFit="1" customWidth="1"/>
    <col min="266" max="509" width="8.85546875" style="21"/>
    <col min="510" max="510" width="6.28515625" style="21" bestFit="1" customWidth="1"/>
    <col min="511" max="511" width="40.28515625" style="21" bestFit="1" customWidth="1"/>
    <col min="512" max="512" width="13.28515625" style="21" bestFit="1" customWidth="1"/>
    <col min="513" max="513" width="13" style="21" bestFit="1" customWidth="1"/>
    <col min="514" max="514" width="10.42578125" style="21" bestFit="1" customWidth="1"/>
    <col min="515" max="515" width="7.42578125" style="21" bestFit="1" customWidth="1"/>
    <col min="516" max="516" width="6.140625" style="21" bestFit="1" customWidth="1"/>
    <col min="517" max="517" width="10.28515625" style="21" bestFit="1" customWidth="1"/>
    <col min="518" max="518" width="12.42578125" style="21" bestFit="1" customWidth="1"/>
    <col min="519" max="519" width="12.140625" style="21" bestFit="1" customWidth="1"/>
    <col min="520" max="520" width="14.28515625" style="21" bestFit="1" customWidth="1"/>
    <col min="521" max="521" width="4.7109375" style="21" bestFit="1" customWidth="1"/>
    <col min="522" max="765" width="8.85546875" style="21"/>
    <col min="766" max="766" width="6.28515625" style="21" bestFit="1" customWidth="1"/>
    <col min="767" max="767" width="40.28515625" style="21" bestFit="1" customWidth="1"/>
    <col min="768" max="768" width="13.28515625" style="21" bestFit="1" customWidth="1"/>
    <col min="769" max="769" width="13" style="21" bestFit="1" customWidth="1"/>
    <col min="770" max="770" width="10.42578125" style="21" bestFit="1" customWidth="1"/>
    <col min="771" max="771" width="7.42578125" style="21" bestFit="1" customWidth="1"/>
    <col min="772" max="772" width="6.140625" style="21" bestFit="1" customWidth="1"/>
    <col min="773" max="773" width="10.28515625" style="21" bestFit="1" customWidth="1"/>
    <col min="774" max="774" width="12.42578125" style="21" bestFit="1" customWidth="1"/>
    <col min="775" max="775" width="12.140625" style="21" bestFit="1" customWidth="1"/>
    <col min="776" max="776" width="14.28515625" style="21" bestFit="1" customWidth="1"/>
    <col min="777" max="777" width="4.7109375" style="21" bestFit="1" customWidth="1"/>
    <col min="778" max="1021" width="8.85546875" style="21"/>
    <col min="1022" max="1022" width="6.28515625" style="21" bestFit="1" customWidth="1"/>
    <col min="1023" max="1023" width="40.28515625" style="21" bestFit="1" customWidth="1"/>
    <col min="1024" max="1024" width="13.28515625" style="21" bestFit="1" customWidth="1"/>
    <col min="1025" max="1025" width="13" style="21" bestFit="1" customWidth="1"/>
    <col min="1026" max="1026" width="10.42578125" style="21" bestFit="1" customWidth="1"/>
    <col min="1027" max="1027" width="7.42578125" style="21" bestFit="1" customWidth="1"/>
    <col min="1028" max="1028" width="6.140625" style="21" bestFit="1" customWidth="1"/>
    <col min="1029" max="1029" width="10.28515625" style="21" bestFit="1" customWidth="1"/>
    <col min="1030" max="1030" width="12.42578125" style="21" bestFit="1" customWidth="1"/>
    <col min="1031" max="1031" width="12.140625" style="21" bestFit="1" customWidth="1"/>
    <col min="1032" max="1032" width="14.28515625" style="21" bestFit="1" customWidth="1"/>
    <col min="1033" max="1033" width="4.7109375" style="21" bestFit="1" customWidth="1"/>
    <col min="1034" max="1277" width="8.85546875" style="21"/>
    <col min="1278" max="1278" width="6.28515625" style="21" bestFit="1" customWidth="1"/>
    <col min="1279" max="1279" width="40.28515625" style="21" bestFit="1" customWidth="1"/>
    <col min="1280" max="1280" width="13.28515625" style="21" bestFit="1" customWidth="1"/>
    <col min="1281" max="1281" width="13" style="21" bestFit="1" customWidth="1"/>
    <col min="1282" max="1282" width="10.42578125" style="21" bestFit="1" customWidth="1"/>
    <col min="1283" max="1283" width="7.42578125" style="21" bestFit="1" customWidth="1"/>
    <col min="1284" max="1284" width="6.140625" style="21" bestFit="1" customWidth="1"/>
    <col min="1285" max="1285" width="10.28515625" style="21" bestFit="1" customWidth="1"/>
    <col min="1286" max="1286" width="12.42578125" style="21" bestFit="1" customWidth="1"/>
    <col min="1287" max="1287" width="12.140625" style="21" bestFit="1" customWidth="1"/>
    <col min="1288" max="1288" width="14.28515625" style="21" bestFit="1" customWidth="1"/>
    <col min="1289" max="1289" width="4.7109375" style="21" bestFit="1" customWidth="1"/>
    <col min="1290" max="1533" width="8.85546875" style="21"/>
    <col min="1534" max="1534" width="6.28515625" style="21" bestFit="1" customWidth="1"/>
    <col min="1535" max="1535" width="40.28515625" style="21" bestFit="1" customWidth="1"/>
    <col min="1536" max="1536" width="13.28515625" style="21" bestFit="1" customWidth="1"/>
    <col min="1537" max="1537" width="13" style="21" bestFit="1" customWidth="1"/>
    <col min="1538" max="1538" width="10.42578125" style="21" bestFit="1" customWidth="1"/>
    <col min="1539" max="1539" width="7.42578125" style="21" bestFit="1" customWidth="1"/>
    <col min="1540" max="1540" width="6.140625" style="21" bestFit="1" customWidth="1"/>
    <col min="1541" max="1541" width="10.28515625" style="21" bestFit="1" customWidth="1"/>
    <col min="1542" max="1542" width="12.42578125" style="21" bestFit="1" customWidth="1"/>
    <col min="1543" max="1543" width="12.140625" style="21" bestFit="1" customWidth="1"/>
    <col min="1544" max="1544" width="14.28515625" style="21" bestFit="1" customWidth="1"/>
    <col min="1545" max="1545" width="4.7109375" style="21" bestFit="1" customWidth="1"/>
    <col min="1546" max="1789" width="8.85546875" style="21"/>
    <col min="1790" max="1790" width="6.28515625" style="21" bestFit="1" customWidth="1"/>
    <col min="1791" max="1791" width="40.28515625" style="21" bestFit="1" customWidth="1"/>
    <col min="1792" max="1792" width="13.28515625" style="21" bestFit="1" customWidth="1"/>
    <col min="1793" max="1793" width="13" style="21" bestFit="1" customWidth="1"/>
    <col min="1794" max="1794" width="10.42578125" style="21" bestFit="1" customWidth="1"/>
    <col min="1795" max="1795" width="7.42578125" style="21" bestFit="1" customWidth="1"/>
    <col min="1796" max="1796" width="6.140625" style="21" bestFit="1" customWidth="1"/>
    <col min="1797" max="1797" width="10.28515625" style="21" bestFit="1" customWidth="1"/>
    <col min="1798" max="1798" width="12.42578125" style="21" bestFit="1" customWidth="1"/>
    <col min="1799" max="1799" width="12.140625" style="21" bestFit="1" customWidth="1"/>
    <col min="1800" max="1800" width="14.28515625" style="21" bestFit="1" customWidth="1"/>
    <col min="1801" max="1801" width="4.7109375" style="21" bestFit="1" customWidth="1"/>
    <col min="1802" max="2045" width="8.85546875" style="21"/>
    <col min="2046" max="2046" width="6.28515625" style="21" bestFit="1" customWidth="1"/>
    <col min="2047" max="2047" width="40.28515625" style="21" bestFit="1" customWidth="1"/>
    <col min="2048" max="2048" width="13.28515625" style="21" bestFit="1" customWidth="1"/>
    <col min="2049" max="2049" width="13" style="21" bestFit="1" customWidth="1"/>
    <col min="2050" max="2050" width="10.42578125" style="21" bestFit="1" customWidth="1"/>
    <col min="2051" max="2051" width="7.42578125" style="21" bestFit="1" customWidth="1"/>
    <col min="2052" max="2052" width="6.140625" style="21" bestFit="1" customWidth="1"/>
    <col min="2053" max="2053" width="10.28515625" style="21" bestFit="1" customWidth="1"/>
    <col min="2054" max="2054" width="12.42578125" style="21" bestFit="1" customWidth="1"/>
    <col min="2055" max="2055" width="12.140625" style="21" bestFit="1" customWidth="1"/>
    <col min="2056" max="2056" width="14.28515625" style="21" bestFit="1" customWidth="1"/>
    <col min="2057" max="2057" width="4.7109375" style="21" bestFit="1" customWidth="1"/>
    <col min="2058" max="2301" width="8.85546875" style="21"/>
    <col min="2302" max="2302" width="6.28515625" style="21" bestFit="1" customWidth="1"/>
    <col min="2303" max="2303" width="40.28515625" style="21" bestFit="1" customWidth="1"/>
    <col min="2304" max="2304" width="13.28515625" style="21" bestFit="1" customWidth="1"/>
    <col min="2305" max="2305" width="13" style="21" bestFit="1" customWidth="1"/>
    <col min="2306" max="2306" width="10.42578125" style="21" bestFit="1" customWidth="1"/>
    <col min="2307" max="2307" width="7.42578125" style="21" bestFit="1" customWidth="1"/>
    <col min="2308" max="2308" width="6.140625" style="21" bestFit="1" customWidth="1"/>
    <col min="2309" max="2309" width="10.28515625" style="21" bestFit="1" customWidth="1"/>
    <col min="2310" max="2310" width="12.42578125" style="21" bestFit="1" customWidth="1"/>
    <col min="2311" max="2311" width="12.140625" style="21" bestFit="1" customWidth="1"/>
    <col min="2312" max="2312" width="14.28515625" style="21" bestFit="1" customWidth="1"/>
    <col min="2313" max="2313" width="4.7109375" style="21" bestFit="1" customWidth="1"/>
    <col min="2314" max="2557" width="8.85546875" style="21"/>
    <col min="2558" max="2558" width="6.28515625" style="21" bestFit="1" customWidth="1"/>
    <col min="2559" max="2559" width="40.28515625" style="21" bestFit="1" customWidth="1"/>
    <col min="2560" max="2560" width="13.28515625" style="21" bestFit="1" customWidth="1"/>
    <col min="2561" max="2561" width="13" style="21" bestFit="1" customWidth="1"/>
    <col min="2562" max="2562" width="10.42578125" style="21" bestFit="1" customWidth="1"/>
    <col min="2563" max="2563" width="7.42578125" style="21" bestFit="1" customWidth="1"/>
    <col min="2564" max="2564" width="6.140625" style="21" bestFit="1" customWidth="1"/>
    <col min="2565" max="2565" width="10.28515625" style="21" bestFit="1" customWidth="1"/>
    <col min="2566" max="2566" width="12.42578125" style="21" bestFit="1" customWidth="1"/>
    <col min="2567" max="2567" width="12.140625" style="21" bestFit="1" customWidth="1"/>
    <col min="2568" max="2568" width="14.28515625" style="21" bestFit="1" customWidth="1"/>
    <col min="2569" max="2569" width="4.7109375" style="21" bestFit="1" customWidth="1"/>
    <col min="2570" max="2813" width="8.85546875" style="21"/>
    <col min="2814" max="2814" width="6.28515625" style="21" bestFit="1" customWidth="1"/>
    <col min="2815" max="2815" width="40.28515625" style="21" bestFit="1" customWidth="1"/>
    <col min="2816" max="2816" width="13.28515625" style="21" bestFit="1" customWidth="1"/>
    <col min="2817" max="2817" width="13" style="21" bestFit="1" customWidth="1"/>
    <col min="2818" max="2818" width="10.42578125" style="21" bestFit="1" customWidth="1"/>
    <col min="2819" max="2819" width="7.42578125" style="21" bestFit="1" customWidth="1"/>
    <col min="2820" max="2820" width="6.140625" style="21" bestFit="1" customWidth="1"/>
    <col min="2821" max="2821" width="10.28515625" style="21" bestFit="1" customWidth="1"/>
    <col min="2822" max="2822" width="12.42578125" style="21" bestFit="1" customWidth="1"/>
    <col min="2823" max="2823" width="12.140625" style="21" bestFit="1" customWidth="1"/>
    <col min="2824" max="2824" width="14.28515625" style="21" bestFit="1" customWidth="1"/>
    <col min="2825" max="2825" width="4.7109375" style="21" bestFit="1" customWidth="1"/>
    <col min="2826" max="3069" width="8.85546875" style="21"/>
    <col min="3070" max="3070" width="6.28515625" style="21" bestFit="1" customWidth="1"/>
    <col min="3071" max="3071" width="40.28515625" style="21" bestFit="1" customWidth="1"/>
    <col min="3072" max="3072" width="13.28515625" style="21" bestFit="1" customWidth="1"/>
    <col min="3073" max="3073" width="13" style="21" bestFit="1" customWidth="1"/>
    <col min="3074" max="3074" width="10.42578125" style="21" bestFit="1" customWidth="1"/>
    <col min="3075" max="3075" width="7.42578125" style="21" bestFit="1" customWidth="1"/>
    <col min="3076" max="3076" width="6.140625" style="21" bestFit="1" customWidth="1"/>
    <col min="3077" max="3077" width="10.28515625" style="21" bestFit="1" customWidth="1"/>
    <col min="3078" max="3078" width="12.42578125" style="21" bestFit="1" customWidth="1"/>
    <col min="3079" max="3079" width="12.140625" style="21" bestFit="1" customWidth="1"/>
    <col min="3080" max="3080" width="14.28515625" style="21" bestFit="1" customWidth="1"/>
    <col min="3081" max="3081" width="4.7109375" style="21" bestFit="1" customWidth="1"/>
    <col min="3082" max="3325" width="8.85546875" style="21"/>
    <col min="3326" max="3326" width="6.28515625" style="21" bestFit="1" customWidth="1"/>
    <col min="3327" max="3327" width="40.28515625" style="21" bestFit="1" customWidth="1"/>
    <col min="3328" max="3328" width="13.28515625" style="21" bestFit="1" customWidth="1"/>
    <col min="3329" max="3329" width="13" style="21" bestFit="1" customWidth="1"/>
    <col min="3330" max="3330" width="10.42578125" style="21" bestFit="1" customWidth="1"/>
    <col min="3331" max="3331" width="7.42578125" style="21" bestFit="1" customWidth="1"/>
    <col min="3332" max="3332" width="6.140625" style="21" bestFit="1" customWidth="1"/>
    <col min="3333" max="3333" width="10.28515625" style="21" bestFit="1" customWidth="1"/>
    <col min="3334" max="3334" width="12.42578125" style="21" bestFit="1" customWidth="1"/>
    <col min="3335" max="3335" width="12.140625" style="21" bestFit="1" customWidth="1"/>
    <col min="3336" max="3336" width="14.28515625" style="21" bestFit="1" customWidth="1"/>
    <col min="3337" max="3337" width="4.7109375" style="21" bestFit="1" customWidth="1"/>
    <col min="3338" max="3581" width="8.85546875" style="21"/>
    <col min="3582" max="3582" width="6.28515625" style="21" bestFit="1" customWidth="1"/>
    <col min="3583" max="3583" width="40.28515625" style="21" bestFit="1" customWidth="1"/>
    <col min="3584" max="3584" width="13.28515625" style="21" bestFit="1" customWidth="1"/>
    <col min="3585" max="3585" width="13" style="21" bestFit="1" customWidth="1"/>
    <col min="3586" max="3586" width="10.42578125" style="21" bestFit="1" customWidth="1"/>
    <col min="3587" max="3587" width="7.42578125" style="21" bestFit="1" customWidth="1"/>
    <col min="3588" max="3588" width="6.140625" style="21" bestFit="1" customWidth="1"/>
    <col min="3589" max="3589" width="10.28515625" style="21" bestFit="1" customWidth="1"/>
    <col min="3590" max="3590" width="12.42578125" style="21" bestFit="1" customWidth="1"/>
    <col min="3591" max="3591" width="12.140625" style="21" bestFit="1" customWidth="1"/>
    <col min="3592" max="3592" width="14.28515625" style="21" bestFit="1" customWidth="1"/>
    <col min="3593" max="3593" width="4.7109375" style="21" bestFit="1" customWidth="1"/>
    <col min="3594" max="3837" width="8.85546875" style="21"/>
    <col min="3838" max="3838" width="6.28515625" style="21" bestFit="1" customWidth="1"/>
    <col min="3839" max="3839" width="40.28515625" style="21" bestFit="1" customWidth="1"/>
    <col min="3840" max="3840" width="13.28515625" style="21" bestFit="1" customWidth="1"/>
    <col min="3841" max="3841" width="13" style="21" bestFit="1" customWidth="1"/>
    <col min="3842" max="3842" width="10.42578125" style="21" bestFit="1" customWidth="1"/>
    <col min="3843" max="3843" width="7.42578125" style="21" bestFit="1" customWidth="1"/>
    <col min="3844" max="3844" width="6.140625" style="21" bestFit="1" customWidth="1"/>
    <col min="3845" max="3845" width="10.28515625" style="21" bestFit="1" customWidth="1"/>
    <col min="3846" max="3846" width="12.42578125" style="21" bestFit="1" customWidth="1"/>
    <col min="3847" max="3847" width="12.140625" style="21" bestFit="1" customWidth="1"/>
    <col min="3848" max="3848" width="14.28515625" style="21" bestFit="1" customWidth="1"/>
    <col min="3849" max="3849" width="4.7109375" style="21" bestFit="1" customWidth="1"/>
    <col min="3850" max="4093" width="8.85546875" style="21"/>
    <col min="4094" max="4094" width="6.28515625" style="21" bestFit="1" customWidth="1"/>
    <col min="4095" max="4095" width="40.28515625" style="21" bestFit="1" customWidth="1"/>
    <col min="4096" max="4096" width="13.28515625" style="21" bestFit="1" customWidth="1"/>
    <col min="4097" max="4097" width="13" style="21" bestFit="1" customWidth="1"/>
    <col min="4098" max="4098" width="10.42578125" style="21" bestFit="1" customWidth="1"/>
    <col min="4099" max="4099" width="7.42578125" style="21" bestFit="1" customWidth="1"/>
    <col min="4100" max="4100" width="6.140625" style="21" bestFit="1" customWidth="1"/>
    <col min="4101" max="4101" width="10.28515625" style="21" bestFit="1" customWidth="1"/>
    <col min="4102" max="4102" width="12.42578125" style="21" bestFit="1" customWidth="1"/>
    <col min="4103" max="4103" width="12.140625" style="21" bestFit="1" customWidth="1"/>
    <col min="4104" max="4104" width="14.28515625" style="21" bestFit="1" customWidth="1"/>
    <col min="4105" max="4105" width="4.7109375" style="21" bestFit="1" customWidth="1"/>
    <col min="4106" max="4349" width="8.85546875" style="21"/>
    <col min="4350" max="4350" width="6.28515625" style="21" bestFit="1" customWidth="1"/>
    <col min="4351" max="4351" width="40.28515625" style="21" bestFit="1" customWidth="1"/>
    <col min="4352" max="4352" width="13.28515625" style="21" bestFit="1" customWidth="1"/>
    <col min="4353" max="4353" width="13" style="21" bestFit="1" customWidth="1"/>
    <col min="4354" max="4354" width="10.42578125" style="21" bestFit="1" customWidth="1"/>
    <col min="4355" max="4355" width="7.42578125" style="21" bestFit="1" customWidth="1"/>
    <col min="4356" max="4356" width="6.140625" style="21" bestFit="1" customWidth="1"/>
    <col min="4357" max="4357" width="10.28515625" style="21" bestFit="1" customWidth="1"/>
    <col min="4358" max="4358" width="12.42578125" style="21" bestFit="1" customWidth="1"/>
    <col min="4359" max="4359" width="12.140625" style="21" bestFit="1" customWidth="1"/>
    <col min="4360" max="4360" width="14.28515625" style="21" bestFit="1" customWidth="1"/>
    <col min="4361" max="4361" width="4.7109375" style="21" bestFit="1" customWidth="1"/>
    <col min="4362" max="4605" width="8.85546875" style="21"/>
    <col min="4606" max="4606" width="6.28515625" style="21" bestFit="1" customWidth="1"/>
    <col min="4607" max="4607" width="40.28515625" style="21" bestFit="1" customWidth="1"/>
    <col min="4608" max="4608" width="13.28515625" style="21" bestFit="1" customWidth="1"/>
    <col min="4609" max="4609" width="13" style="21" bestFit="1" customWidth="1"/>
    <col min="4610" max="4610" width="10.42578125" style="21" bestFit="1" customWidth="1"/>
    <col min="4611" max="4611" width="7.42578125" style="21" bestFit="1" customWidth="1"/>
    <col min="4612" max="4612" width="6.140625" style="21" bestFit="1" customWidth="1"/>
    <col min="4613" max="4613" width="10.28515625" style="21" bestFit="1" customWidth="1"/>
    <col min="4614" max="4614" width="12.42578125" style="21" bestFit="1" customWidth="1"/>
    <col min="4615" max="4615" width="12.140625" style="21" bestFit="1" customWidth="1"/>
    <col min="4616" max="4616" width="14.28515625" style="21" bestFit="1" customWidth="1"/>
    <col min="4617" max="4617" width="4.7109375" style="21" bestFit="1" customWidth="1"/>
    <col min="4618" max="4861" width="8.85546875" style="21"/>
    <col min="4862" max="4862" width="6.28515625" style="21" bestFit="1" customWidth="1"/>
    <col min="4863" max="4863" width="40.28515625" style="21" bestFit="1" customWidth="1"/>
    <col min="4864" max="4864" width="13.28515625" style="21" bestFit="1" customWidth="1"/>
    <col min="4865" max="4865" width="13" style="21" bestFit="1" customWidth="1"/>
    <col min="4866" max="4866" width="10.42578125" style="21" bestFit="1" customWidth="1"/>
    <col min="4867" max="4867" width="7.42578125" style="21" bestFit="1" customWidth="1"/>
    <col min="4868" max="4868" width="6.140625" style="21" bestFit="1" customWidth="1"/>
    <col min="4869" max="4869" width="10.28515625" style="21" bestFit="1" customWidth="1"/>
    <col min="4870" max="4870" width="12.42578125" style="21" bestFit="1" customWidth="1"/>
    <col min="4871" max="4871" width="12.140625" style="21" bestFit="1" customWidth="1"/>
    <col min="4872" max="4872" width="14.28515625" style="21" bestFit="1" customWidth="1"/>
    <col min="4873" max="4873" width="4.7109375" style="21" bestFit="1" customWidth="1"/>
    <col min="4874" max="5117" width="8.85546875" style="21"/>
    <col min="5118" max="5118" width="6.28515625" style="21" bestFit="1" customWidth="1"/>
    <col min="5119" max="5119" width="40.28515625" style="21" bestFit="1" customWidth="1"/>
    <col min="5120" max="5120" width="13.28515625" style="21" bestFit="1" customWidth="1"/>
    <col min="5121" max="5121" width="13" style="21" bestFit="1" customWidth="1"/>
    <col min="5122" max="5122" width="10.42578125" style="21" bestFit="1" customWidth="1"/>
    <col min="5123" max="5123" width="7.42578125" style="21" bestFit="1" customWidth="1"/>
    <col min="5124" max="5124" width="6.140625" style="21" bestFit="1" customWidth="1"/>
    <col min="5125" max="5125" width="10.28515625" style="21" bestFit="1" customWidth="1"/>
    <col min="5126" max="5126" width="12.42578125" style="21" bestFit="1" customWidth="1"/>
    <col min="5127" max="5127" width="12.140625" style="21" bestFit="1" customWidth="1"/>
    <col min="5128" max="5128" width="14.28515625" style="21" bestFit="1" customWidth="1"/>
    <col min="5129" max="5129" width="4.7109375" style="21" bestFit="1" customWidth="1"/>
    <col min="5130" max="5373" width="8.85546875" style="21"/>
    <col min="5374" max="5374" width="6.28515625" style="21" bestFit="1" customWidth="1"/>
    <col min="5375" max="5375" width="40.28515625" style="21" bestFit="1" customWidth="1"/>
    <col min="5376" max="5376" width="13.28515625" style="21" bestFit="1" customWidth="1"/>
    <col min="5377" max="5377" width="13" style="21" bestFit="1" customWidth="1"/>
    <col min="5378" max="5378" width="10.42578125" style="21" bestFit="1" customWidth="1"/>
    <col min="5379" max="5379" width="7.42578125" style="21" bestFit="1" customWidth="1"/>
    <col min="5380" max="5380" width="6.140625" style="21" bestFit="1" customWidth="1"/>
    <col min="5381" max="5381" width="10.28515625" style="21" bestFit="1" customWidth="1"/>
    <col min="5382" max="5382" width="12.42578125" style="21" bestFit="1" customWidth="1"/>
    <col min="5383" max="5383" width="12.140625" style="21" bestFit="1" customWidth="1"/>
    <col min="5384" max="5384" width="14.28515625" style="21" bestFit="1" customWidth="1"/>
    <col min="5385" max="5385" width="4.7109375" style="21" bestFit="1" customWidth="1"/>
    <col min="5386" max="5629" width="8.85546875" style="21"/>
    <col min="5630" max="5630" width="6.28515625" style="21" bestFit="1" customWidth="1"/>
    <col min="5631" max="5631" width="40.28515625" style="21" bestFit="1" customWidth="1"/>
    <col min="5632" max="5632" width="13.28515625" style="21" bestFit="1" customWidth="1"/>
    <col min="5633" max="5633" width="13" style="21" bestFit="1" customWidth="1"/>
    <col min="5634" max="5634" width="10.42578125" style="21" bestFit="1" customWidth="1"/>
    <col min="5635" max="5635" width="7.42578125" style="21" bestFit="1" customWidth="1"/>
    <col min="5636" max="5636" width="6.140625" style="21" bestFit="1" customWidth="1"/>
    <col min="5637" max="5637" width="10.28515625" style="21" bestFit="1" customWidth="1"/>
    <col min="5638" max="5638" width="12.42578125" style="21" bestFit="1" customWidth="1"/>
    <col min="5639" max="5639" width="12.140625" style="21" bestFit="1" customWidth="1"/>
    <col min="5640" max="5640" width="14.28515625" style="21" bestFit="1" customWidth="1"/>
    <col min="5641" max="5641" width="4.7109375" style="21" bestFit="1" customWidth="1"/>
    <col min="5642" max="5885" width="8.85546875" style="21"/>
    <col min="5886" max="5886" width="6.28515625" style="21" bestFit="1" customWidth="1"/>
    <col min="5887" max="5887" width="40.28515625" style="21" bestFit="1" customWidth="1"/>
    <col min="5888" max="5888" width="13.28515625" style="21" bestFit="1" customWidth="1"/>
    <col min="5889" max="5889" width="13" style="21" bestFit="1" customWidth="1"/>
    <col min="5890" max="5890" width="10.42578125" style="21" bestFit="1" customWidth="1"/>
    <col min="5891" max="5891" width="7.42578125" style="21" bestFit="1" customWidth="1"/>
    <col min="5892" max="5892" width="6.140625" style="21" bestFit="1" customWidth="1"/>
    <col min="5893" max="5893" width="10.28515625" style="21" bestFit="1" customWidth="1"/>
    <col min="5894" max="5894" width="12.42578125" style="21" bestFit="1" customWidth="1"/>
    <col min="5895" max="5895" width="12.140625" style="21" bestFit="1" customWidth="1"/>
    <col min="5896" max="5896" width="14.28515625" style="21" bestFit="1" customWidth="1"/>
    <col min="5897" max="5897" width="4.7109375" style="21" bestFit="1" customWidth="1"/>
    <col min="5898" max="6141" width="8.85546875" style="21"/>
    <col min="6142" max="6142" width="6.28515625" style="21" bestFit="1" customWidth="1"/>
    <col min="6143" max="6143" width="40.28515625" style="21" bestFit="1" customWidth="1"/>
    <col min="6144" max="6144" width="13.28515625" style="21" bestFit="1" customWidth="1"/>
    <col min="6145" max="6145" width="13" style="21" bestFit="1" customWidth="1"/>
    <col min="6146" max="6146" width="10.42578125" style="21" bestFit="1" customWidth="1"/>
    <col min="6147" max="6147" width="7.42578125" style="21" bestFit="1" customWidth="1"/>
    <col min="6148" max="6148" width="6.140625" style="21" bestFit="1" customWidth="1"/>
    <col min="6149" max="6149" width="10.28515625" style="21" bestFit="1" customWidth="1"/>
    <col min="6150" max="6150" width="12.42578125" style="21" bestFit="1" customWidth="1"/>
    <col min="6151" max="6151" width="12.140625" style="21" bestFit="1" customWidth="1"/>
    <col min="6152" max="6152" width="14.28515625" style="21" bestFit="1" customWidth="1"/>
    <col min="6153" max="6153" width="4.7109375" style="21" bestFit="1" customWidth="1"/>
    <col min="6154" max="6397" width="8.85546875" style="21"/>
    <col min="6398" max="6398" width="6.28515625" style="21" bestFit="1" customWidth="1"/>
    <col min="6399" max="6399" width="40.28515625" style="21" bestFit="1" customWidth="1"/>
    <col min="6400" max="6400" width="13.28515625" style="21" bestFit="1" customWidth="1"/>
    <col min="6401" max="6401" width="13" style="21" bestFit="1" customWidth="1"/>
    <col min="6402" max="6402" width="10.42578125" style="21" bestFit="1" customWidth="1"/>
    <col min="6403" max="6403" width="7.42578125" style="21" bestFit="1" customWidth="1"/>
    <col min="6404" max="6404" width="6.140625" style="21" bestFit="1" customWidth="1"/>
    <col min="6405" max="6405" width="10.28515625" style="21" bestFit="1" customWidth="1"/>
    <col min="6406" max="6406" width="12.42578125" style="21" bestFit="1" customWidth="1"/>
    <col min="6407" max="6407" width="12.140625" style="21" bestFit="1" customWidth="1"/>
    <col min="6408" max="6408" width="14.28515625" style="21" bestFit="1" customWidth="1"/>
    <col min="6409" max="6409" width="4.7109375" style="21" bestFit="1" customWidth="1"/>
    <col min="6410" max="6653" width="8.85546875" style="21"/>
    <col min="6654" max="6654" width="6.28515625" style="21" bestFit="1" customWidth="1"/>
    <col min="6655" max="6655" width="40.28515625" style="21" bestFit="1" customWidth="1"/>
    <col min="6656" max="6656" width="13.28515625" style="21" bestFit="1" customWidth="1"/>
    <col min="6657" max="6657" width="13" style="21" bestFit="1" customWidth="1"/>
    <col min="6658" max="6658" width="10.42578125" style="21" bestFit="1" customWidth="1"/>
    <col min="6659" max="6659" width="7.42578125" style="21" bestFit="1" customWidth="1"/>
    <col min="6660" max="6660" width="6.140625" style="21" bestFit="1" customWidth="1"/>
    <col min="6661" max="6661" width="10.28515625" style="21" bestFit="1" customWidth="1"/>
    <col min="6662" max="6662" width="12.42578125" style="21" bestFit="1" customWidth="1"/>
    <col min="6663" max="6663" width="12.140625" style="21" bestFit="1" customWidth="1"/>
    <col min="6664" max="6664" width="14.28515625" style="21" bestFit="1" customWidth="1"/>
    <col min="6665" max="6665" width="4.7109375" style="21" bestFit="1" customWidth="1"/>
    <col min="6666" max="6909" width="8.85546875" style="21"/>
    <col min="6910" max="6910" width="6.28515625" style="21" bestFit="1" customWidth="1"/>
    <col min="6911" max="6911" width="40.28515625" style="21" bestFit="1" customWidth="1"/>
    <col min="6912" max="6912" width="13.28515625" style="21" bestFit="1" customWidth="1"/>
    <col min="6913" max="6913" width="13" style="21" bestFit="1" customWidth="1"/>
    <col min="6914" max="6914" width="10.42578125" style="21" bestFit="1" customWidth="1"/>
    <col min="6915" max="6915" width="7.42578125" style="21" bestFit="1" customWidth="1"/>
    <col min="6916" max="6916" width="6.140625" style="21" bestFit="1" customWidth="1"/>
    <col min="6917" max="6917" width="10.28515625" style="21" bestFit="1" customWidth="1"/>
    <col min="6918" max="6918" width="12.42578125" style="21" bestFit="1" customWidth="1"/>
    <col min="6919" max="6919" width="12.140625" style="21" bestFit="1" customWidth="1"/>
    <col min="6920" max="6920" width="14.28515625" style="21" bestFit="1" customWidth="1"/>
    <col min="6921" max="6921" width="4.7109375" style="21" bestFit="1" customWidth="1"/>
    <col min="6922" max="7165" width="8.85546875" style="21"/>
    <col min="7166" max="7166" width="6.28515625" style="21" bestFit="1" customWidth="1"/>
    <col min="7167" max="7167" width="40.28515625" style="21" bestFit="1" customWidth="1"/>
    <col min="7168" max="7168" width="13.28515625" style="21" bestFit="1" customWidth="1"/>
    <col min="7169" max="7169" width="13" style="21" bestFit="1" customWidth="1"/>
    <col min="7170" max="7170" width="10.42578125" style="21" bestFit="1" customWidth="1"/>
    <col min="7171" max="7171" width="7.42578125" style="21" bestFit="1" customWidth="1"/>
    <col min="7172" max="7172" width="6.140625" style="21" bestFit="1" customWidth="1"/>
    <col min="7173" max="7173" width="10.28515625" style="21" bestFit="1" customWidth="1"/>
    <col min="7174" max="7174" width="12.42578125" style="21" bestFit="1" customWidth="1"/>
    <col min="7175" max="7175" width="12.140625" style="21" bestFit="1" customWidth="1"/>
    <col min="7176" max="7176" width="14.28515625" style="21" bestFit="1" customWidth="1"/>
    <col min="7177" max="7177" width="4.7109375" style="21" bestFit="1" customWidth="1"/>
    <col min="7178" max="7421" width="8.85546875" style="21"/>
    <col min="7422" max="7422" width="6.28515625" style="21" bestFit="1" customWidth="1"/>
    <col min="7423" max="7423" width="40.28515625" style="21" bestFit="1" customWidth="1"/>
    <col min="7424" max="7424" width="13.28515625" style="21" bestFit="1" customWidth="1"/>
    <col min="7425" max="7425" width="13" style="21" bestFit="1" customWidth="1"/>
    <col min="7426" max="7426" width="10.42578125" style="21" bestFit="1" customWidth="1"/>
    <col min="7427" max="7427" width="7.42578125" style="21" bestFit="1" customWidth="1"/>
    <col min="7428" max="7428" width="6.140625" style="21" bestFit="1" customWidth="1"/>
    <col min="7429" max="7429" width="10.28515625" style="21" bestFit="1" customWidth="1"/>
    <col min="7430" max="7430" width="12.42578125" style="21" bestFit="1" customWidth="1"/>
    <col min="7431" max="7431" width="12.140625" style="21" bestFit="1" customWidth="1"/>
    <col min="7432" max="7432" width="14.28515625" style="21" bestFit="1" customWidth="1"/>
    <col min="7433" max="7433" width="4.7109375" style="21" bestFit="1" customWidth="1"/>
    <col min="7434" max="7677" width="8.85546875" style="21"/>
    <col min="7678" max="7678" width="6.28515625" style="21" bestFit="1" customWidth="1"/>
    <col min="7679" max="7679" width="40.28515625" style="21" bestFit="1" customWidth="1"/>
    <col min="7680" max="7680" width="13.28515625" style="21" bestFit="1" customWidth="1"/>
    <col min="7681" max="7681" width="13" style="21" bestFit="1" customWidth="1"/>
    <col min="7682" max="7682" width="10.42578125" style="21" bestFit="1" customWidth="1"/>
    <col min="7683" max="7683" width="7.42578125" style="21" bestFit="1" customWidth="1"/>
    <col min="7684" max="7684" width="6.140625" style="21" bestFit="1" customWidth="1"/>
    <col min="7685" max="7685" width="10.28515625" style="21" bestFit="1" customWidth="1"/>
    <col min="7686" max="7686" width="12.42578125" style="21" bestFit="1" customWidth="1"/>
    <col min="7687" max="7687" width="12.140625" style="21" bestFit="1" customWidth="1"/>
    <col min="7688" max="7688" width="14.28515625" style="21" bestFit="1" customWidth="1"/>
    <col min="7689" max="7689" width="4.7109375" style="21" bestFit="1" customWidth="1"/>
    <col min="7690" max="7933" width="8.85546875" style="21"/>
    <col min="7934" max="7934" width="6.28515625" style="21" bestFit="1" customWidth="1"/>
    <col min="7935" max="7935" width="40.28515625" style="21" bestFit="1" customWidth="1"/>
    <col min="7936" max="7936" width="13.28515625" style="21" bestFit="1" customWidth="1"/>
    <col min="7937" max="7937" width="13" style="21" bestFit="1" customWidth="1"/>
    <col min="7938" max="7938" width="10.42578125" style="21" bestFit="1" customWidth="1"/>
    <col min="7939" max="7939" width="7.42578125" style="21" bestFit="1" customWidth="1"/>
    <col min="7940" max="7940" width="6.140625" style="21" bestFit="1" customWidth="1"/>
    <col min="7941" max="7941" width="10.28515625" style="21" bestFit="1" customWidth="1"/>
    <col min="7942" max="7942" width="12.42578125" style="21" bestFit="1" customWidth="1"/>
    <col min="7943" max="7943" width="12.140625" style="21" bestFit="1" customWidth="1"/>
    <col min="7944" max="7944" width="14.28515625" style="21" bestFit="1" customWidth="1"/>
    <col min="7945" max="7945" width="4.7109375" style="21" bestFit="1" customWidth="1"/>
    <col min="7946" max="8189" width="8.85546875" style="21"/>
    <col min="8190" max="8190" width="6.28515625" style="21" bestFit="1" customWidth="1"/>
    <col min="8191" max="8191" width="40.28515625" style="21" bestFit="1" customWidth="1"/>
    <col min="8192" max="8192" width="13.28515625" style="21" bestFit="1" customWidth="1"/>
    <col min="8193" max="8193" width="13" style="21" bestFit="1" customWidth="1"/>
    <col min="8194" max="8194" width="10.42578125" style="21" bestFit="1" customWidth="1"/>
    <col min="8195" max="8195" width="7.42578125" style="21" bestFit="1" customWidth="1"/>
    <col min="8196" max="8196" width="6.140625" style="21" bestFit="1" customWidth="1"/>
    <col min="8197" max="8197" width="10.28515625" style="21" bestFit="1" customWidth="1"/>
    <col min="8198" max="8198" width="12.42578125" style="21" bestFit="1" customWidth="1"/>
    <col min="8199" max="8199" width="12.140625" style="21" bestFit="1" customWidth="1"/>
    <col min="8200" max="8200" width="14.28515625" style="21" bestFit="1" customWidth="1"/>
    <col min="8201" max="8201" width="4.7109375" style="21" bestFit="1" customWidth="1"/>
    <col min="8202" max="8445" width="8.85546875" style="21"/>
    <col min="8446" max="8446" width="6.28515625" style="21" bestFit="1" customWidth="1"/>
    <col min="8447" max="8447" width="40.28515625" style="21" bestFit="1" customWidth="1"/>
    <col min="8448" max="8448" width="13.28515625" style="21" bestFit="1" customWidth="1"/>
    <col min="8449" max="8449" width="13" style="21" bestFit="1" customWidth="1"/>
    <col min="8450" max="8450" width="10.42578125" style="21" bestFit="1" customWidth="1"/>
    <col min="8451" max="8451" width="7.42578125" style="21" bestFit="1" customWidth="1"/>
    <col min="8452" max="8452" width="6.140625" style="21" bestFit="1" customWidth="1"/>
    <col min="8453" max="8453" width="10.28515625" style="21" bestFit="1" customWidth="1"/>
    <col min="8454" max="8454" width="12.42578125" style="21" bestFit="1" customWidth="1"/>
    <col min="8455" max="8455" width="12.140625" style="21" bestFit="1" customWidth="1"/>
    <col min="8456" max="8456" width="14.28515625" style="21" bestFit="1" customWidth="1"/>
    <col min="8457" max="8457" width="4.7109375" style="21" bestFit="1" customWidth="1"/>
    <col min="8458" max="8701" width="8.85546875" style="21"/>
    <col min="8702" max="8702" width="6.28515625" style="21" bestFit="1" customWidth="1"/>
    <col min="8703" max="8703" width="40.28515625" style="21" bestFit="1" customWidth="1"/>
    <col min="8704" max="8704" width="13.28515625" style="21" bestFit="1" customWidth="1"/>
    <col min="8705" max="8705" width="13" style="21" bestFit="1" customWidth="1"/>
    <col min="8706" max="8706" width="10.42578125" style="21" bestFit="1" customWidth="1"/>
    <col min="8707" max="8707" width="7.42578125" style="21" bestFit="1" customWidth="1"/>
    <col min="8708" max="8708" width="6.140625" style="21" bestFit="1" customWidth="1"/>
    <col min="8709" max="8709" width="10.28515625" style="21" bestFit="1" customWidth="1"/>
    <col min="8710" max="8710" width="12.42578125" style="21" bestFit="1" customWidth="1"/>
    <col min="8711" max="8711" width="12.140625" style="21" bestFit="1" customWidth="1"/>
    <col min="8712" max="8712" width="14.28515625" style="21" bestFit="1" customWidth="1"/>
    <col min="8713" max="8713" width="4.7109375" style="21" bestFit="1" customWidth="1"/>
    <col min="8714" max="8957" width="8.85546875" style="21"/>
    <col min="8958" max="8958" width="6.28515625" style="21" bestFit="1" customWidth="1"/>
    <col min="8959" max="8959" width="40.28515625" style="21" bestFit="1" customWidth="1"/>
    <col min="8960" max="8960" width="13.28515625" style="21" bestFit="1" customWidth="1"/>
    <col min="8961" max="8961" width="13" style="21" bestFit="1" customWidth="1"/>
    <col min="8962" max="8962" width="10.42578125" style="21" bestFit="1" customWidth="1"/>
    <col min="8963" max="8963" width="7.42578125" style="21" bestFit="1" customWidth="1"/>
    <col min="8964" max="8964" width="6.140625" style="21" bestFit="1" customWidth="1"/>
    <col min="8965" max="8965" width="10.28515625" style="21" bestFit="1" customWidth="1"/>
    <col min="8966" max="8966" width="12.42578125" style="21" bestFit="1" customWidth="1"/>
    <col min="8967" max="8967" width="12.140625" style="21" bestFit="1" customWidth="1"/>
    <col min="8968" max="8968" width="14.28515625" style="21" bestFit="1" customWidth="1"/>
    <col min="8969" max="8969" width="4.7109375" style="21" bestFit="1" customWidth="1"/>
    <col min="8970" max="9213" width="8.85546875" style="21"/>
    <col min="9214" max="9214" width="6.28515625" style="21" bestFit="1" customWidth="1"/>
    <col min="9215" max="9215" width="40.28515625" style="21" bestFit="1" customWidth="1"/>
    <col min="9216" max="9216" width="13.28515625" style="21" bestFit="1" customWidth="1"/>
    <col min="9217" max="9217" width="13" style="21" bestFit="1" customWidth="1"/>
    <col min="9218" max="9218" width="10.42578125" style="21" bestFit="1" customWidth="1"/>
    <col min="9219" max="9219" width="7.42578125" style="21" bestFit="1" customWidth="1"/>
    <col min="9220" max="9220" width="6.140625" style="21" bestFit="1" customWidth="1"/>
    <col min="9221" max="9221" width="10.28515625" style="21" bestFit="1" customWidth="1"/>
    <col min="9222" max="9222" width="12.42578125" style="21" bestFit="1" customWidth="1"/>
    <col min="9223" max="9223" width="12.140625" style="21" bestFit="1" customWidth="1"/>
    <col min="9224" max="9224" width="14.28515625" style="21" bestFit="1" customWidth="1"/>
    <col min="9225" max="9225" width="4.7109375" style="21" bestFit="1" customWidth="1"/>
    <col min="9226" max="9469" width="8.85546875" style="21"/>
    <col min="9470" max="9470" width="6.28515625" style="21" bestFit="1" customWidth="1"/>
    <col min="9471" max="9471" width="40.28515625" style="21" bestFit="1" customWidth="1"/>
    <col min="9472" max="9472" width="13.28515625" style="21" bestFit="1" customWidth="1"/>
    <col min="9473" max="9473" width="13" style="21" bestFit="1" customWidth="1"/>
    <col min="9474" max="9474" width="10.42578125" style="21" bestFit="1" customWidth="1"/>
    <col min="9475" max="9475" width="7.42578125" style="21" bestFit="1" customWidth="1"/>
    <col min="9476" max="9476" width="6.140625" style="21" bestFit="1" customWidth="1"/>
    <col min="9477" max="9477" width="10.28515625" style="21" bestFit="1" customWidth="1"/>
    <col min="9478" max="9478" width="12.42578125" style="21" bestFit="1" customWidth="1"/>
    <col min="9479" max="9479" width="12.140625" style="21" bestFit="1" customWidth="1"/>
    <col min="9480" max="9480" width="14.28515625" style="21" bestFit="1" customWidth="1"/>
    <col min="9481" max="9481" width="4.7109375" style="21" bestFit="1" customWidth="1"/>
    <col min="9482" max="9725" width="8.85546875" style="21"/>
    <col min="9726" max="9726" width="6.28515625" style="21" bestFit="1" customWidth="1"/>
    <col min="9727" max="9727" width="40.28515625" style="21" bestFit="1" customWidth="1"/>
    <col min="9728" max="9728" width="13.28515625" style="21" bestFit="1" customWidth="1"/>
    <col min="9729" max="9729" width="13" style="21" bestFit="1" customWidth="1"/>
    <col min="9730" max="9730" width="10.42578125" style="21" bestFit="1" customWidth="1"/>
    <col min="9731" max="9731" width="7.42578125" style="21" bestFit="1" customWidth="1"/>
    <col min="9732" max="9732" width="6.140625" style="21" bestFit="1" customWidth="1"/>
    <col min="9733" max="9733" width="10.28515625" style="21" bestFit="1" customWidth="1"/>
    <col min="9734" max="9734" width="12.42578125" style="21" bestFit="1" customWidth="1"/>
    <col min="9735" max="9735" width="12.140625" style="21" bestFit="1" customWidth="1"/>
    <col min="9736" max="9736" width="14.28515625" style="21" bestFit="1" customWidth="1"/>
    <col min="9737" max="9737" width="4.7109375" style="21" bestFit="1" customWidth="1"/>
    <col min="9738" max="9981" width="8.85546875" style="21"/>
    <col min="9982" max="9982" width="6.28515625" style="21" bestFit="1" customWidth="1"/>
    <col min="9983" max="9983" width="40.28515625" style="21" bestFit="1" customWidth="1"/>
    <col min="9984" max="9984" width="13.28515625" style="21" bestFit="1" customWidth="1"/>
    <col min="9985" max="9985" width="13" style="21" bestFit="1" customWidth="1"/>
    <col min="9986" max="9986" width="10.42578125" style="21" bestFit="1" customWidth="1"/>
    <col min="9987" max="9987" width="7.42578125" style="21" bestFit="1" customWidth="1"/>
    <col min="9988" max="9988" width="6.140625" style="21" bestFit="1" customWidth="1"/>
    <col min="9989" max="9989" width="10.28515625" style="21" bestFit="1" customWidth="1"/>
    <col min="9990" max="9990" width="12.42578125" style="21" bestFit="1" customWidth="1"/>
    <col min="9991" max="9991" width="12.140625" style="21" bestFit="1" customWidth="1"/>
    <col min="9992" max="9992" width="14.28515625" style="21" bestFit="1" customWidth="1"/>
    <col min="9993" max="9993" width="4.7109375" style="21" bestFit="1" customWidth="1"/>
    <col min="9994" max="10237" width="8.85546875" style="21"/>
    <col min="10238" max="10238" width="6.28515625" style="21" bestFit="1" customWidth="1"/>
    <col min="10239" max="10239" width="40.28515625" style="21" bestFit="1" customWidth="1"/>
    <col min="10240" max="10240" width="13.28515625" style="21" bestFit="1" customWidth="1"/>
    <col min="10241" max="10241" width="13" style="21" bestFit="1" customWidth="1"/>
    <col min="10242" max="10242" width="10.42578125" style="21" bestFit="1" customWidth="1"/>
    <col min="10243" max="10243" width="7.42578125" style="21" bestFit="1" customWidth="1"/>
    <col min="10244" max="10244" width="6.140625" style="21" bestFit="1" customWidth="1"/>
    <col min="10245" max="10245" width="10.28515625" style="21" bestFit="1" customWidth="1"/>
    <col min="10246" max="10246" width="12.42578125" style="21" bestFit="1" customWidth="1"/>
    <col min="10247" max="10247" width="12.140625" style="21" bestFit="1" customWidth="1"/>
    <col min="10248" max="10248" width="14.28515625" style="21" bestFit="1" customWidth="1"/>
    <col min="10249" max="10249" width="4.7109375" style="21" bestFit="1" customWidth="1"/>
    <col min="10250" max="10493" width="8.85546875" style="21"/>
    <col min="10494" max="10494" width="6.28515625" style="21" bestFit="1" customWidth="1"/>
    <col min="10495" max="10495" width="40.28515625" style="21" bestFit="1" customWidth="1"/>
    <col min="10496" max="10496" width="13.28515625" style="21" bestFit="1" customWidth="1"/>
    <col min="10497" max="10497" width="13" style="21" bestFit="1" customWidth="1"/>
    <col min="10498" max="10498" width="10.42578125" style="21" bestFit="1" customWidth="1"/>
    <col min="10499" max="10499" width="7.42578125" style="21" bestFit="1" customWidth="1"/>
    <col min="10500" max="10500" width="6.140625" style="21" bestFit="1" customWidth="1"/>
    <col min="10501" max="10501" width="10.28515625" style="21" bestFit="1" customWidth="1"/>
    <col min="10502" max="10502" width="12.42578125" style="21" bestFit="1" customWidth="1"/>
    <col min="10503" max="10503" width="12.140625" style="21" bestFit="1" customWidth="1"/>
    <col min="10504" max="10504" width="14.28515625" style="21" bestFit="1" customWidth="1"/>
    <col min="10505" max="10505" width="4.7109375" style="21" bestFit="1" customWidth="1"/>
    <col min="10506" max="10749" width="8.85546875" style="21"/>
    <col min="10750" max="10750" width="6.28515625" style="21" bestFit="1" customWidth="1"/>
    <col min="10751" max="10751" width="40.28515625" style="21" bestFit="1" customWidth="1"/>
    <col min="10752" max="10752" width="13.28515625" style="21" bestFit="1" customWidth="1"/>
    <col min="10753" max="10753" width="13" style="21" bestFit="1" customWidth="1"/>
    <col min="10754" max="10754" width="10.42578125" style="21" bestFit="1" customWidth="1"/>
    <col min="10755" max="10755" width="7.42578125" style="21" bestFit="1" customWidth="1"/>
    <col min="10756" max="10756" width="6.140625" style="21" bestFit="1" customWidth="1"/>
    <col min="10757" max="10757" width="10.28515625" style="21" bestFit="1" customWidth="1"/>
    <col min="10758" max="10758" width="12.42578125" style="21" bestFit="1" customWidth="1"/>
    <col min="10759" max="10759" width="12.140625" style="21" bestFit="1" customWidth="1"/>
    <col min="10760" max="10760" width="14.28515625" style="21" bestFit="1" customWidth="1"/>
    <col min="10761" max="10761" width="4.7109375" style="21" bestFit="1" customWidth="1"/>
    <col min="10762" max="11005" width="8.85546875" style="21"/>
    <col min="11006" max="11006" width="6.28515625" style="21" bestFit="1" customWidth="1"/>
    <col min="11007" max="11007" width="40.28515625" style="21" bestFit="1" customWidth="1"/>
    <col min="11008" max="11008" width="13.28515625" style="21" bestFit="1" customWidth="1"/>
    <col min="11009" max="11009" width="13" style="21" bestFit="1" customWidth="1"/>
    <col min="11010" max="11010" width="10.42578125" style="21" bestFit="1" customWidth="1"/>
    <col min="11011" max="11011" width="7.42578125" style="21" bestFit="1" customWidth="1"/>
    <col min="11012" max="11012" width="6.140625" style="21" bestFit="1" customWidth="1"/>
    <col min="11013" max="11013" width="10.28515625" style="21" bestFit="1" customWidth="1"/>
    <col min="11014" max="11014" width="12.42578125" style="21" bestFit="1" customWidth="1"/>
    <col min="11015" max="11015" width="12.140625" style="21" bestFit="1" customWidth="1"/>
    <col min="11016" max="11016" width="14.28515625" style="21" bestFit="1" customWidth="1"/>
    <col min="11017" max="11017" width="4.7109375" style="21" bestFit="1" customWidth="1"/>
    <col min="11018" max="11261" width="8.85546875" style="21"/>
    <col min="11262" max="11262" width="6.28515625" style="21" bestFit="1" customWidth="1"/>
    <col min="11263" max="11263" width="40.28515625" style="21" bestFit="1" customWidth="1"/>
    <col min="11264" max="11264" width="13.28515625" style="21" bestFit="1" customWidth="1"/>
    <col min="11265" max="11265" width="13" style="21" bestFit="1" customWidth="1"/>
    <col min="11266" max="11266" width="10.42578125" style="21" bestFit="1" customWidth="1"/>
    <col min="11267" max="11267" width="7.42578125" style="21" bestFit="1" customWidth="1"/>
    <col min="11268" max="11268" width="6.140625" style="21" bestFit="1" customWidth="1"/>
    <col min="11269" max="11269" width="10.28515625" style="21" bestFit="1" customWidth="1"/>
    <col min="11270" max="11270" width="12.42578125" style="21" bestFit="1" customWidth="1"/>
    <col min="11271" max="11271" width="12.140625" style="21" bestFit="1" customWidth="1"/>
    <col min="11272" max="11272" width="14.28515625" style="21" bestFit="1" customWidth="1"/>
    <col min="11273" max="11273" width="4.7109375" style="21" bestFit="1" customWidth="1"/>
    <col min="11274" max="11517" width="8.85546875" style="21"/>
    <col min="11518" max="11518" width="6.28515625" style="21" bestFit="1" customWidth="1"/>
    <col min="11519" max="11519" width="40.28515625" style="21" bestFit="1" customWidth="1"/>
    <col min="11520" max="11520" width="13.28515625" style="21" bestFit="1" customWidth="1"/>
    <col min="11521" max="11521" width="13" style="21" bestFit="1" customWidth="1"/>
    <col min="11522" max="11522" width="10.42578125" style="21" bestFit="1" customWidth="1"/>
    <col min="11523" max="11523" width="7.42578125" style="21" bestFit="1" customWidth="1"/>
    <col min="11524" max="11524" width="6.140625" style="21" bestFit="1" customWidth="1"/>
    <col min="11525" max="11525" width="10.28515625" style="21" bestFit="1" customWidth="1"/>
    <col min="11526" max="11526" width="12.42578125" style="21" bestFit="1" customWidth="1"/>
    <col min="11527" max="11527" width="12.140625" style="21" bestFit="1" customWidth="1"/>
    <col min="11528" max="11528" width="14.28515625" style="21" bestFit="1" customWidth="1"/>
    <col min="11529" max="11529" width="4.7109375" style="21" bestFit="1" customWidth="1"/>
    <col min="11530" max="11773" width="8.85546875" style="21"/>
    <col min="11774" max="11774" width="6.28515625" style="21" bestFit="1" customWidth="1"/>
    <col min="11775" max="11775" width="40.28515625" style="21" bestFit="1" customWidth="1"/>
    <col min="11776" max="11776" width="13.28515625" style="21" bestFit="1" customWidth="1"/>
    <col min="11777" max="11777" width="13" style="21" bestFit="1" customWidth="1"/>
    <col min="11778" max="11778" width="10.42578125" style="21" bestFit="1" customWidth="1"/>
    <col min="11779" max="11779" width="7.42578125" style="21" bestFit="1" customWidth="1"/>
    <col min="11780" max="11780" width="6.140625" style="21" bestFit="1" customWidth="1"/>
    <col min="11781" max="11781" width="10.28515625" style="21" bestFit="1" customWidth="1"/>
    <col min="11782" max="11782" width="12.42578125" style="21" bestFit="1" customWidth="1"/>
    <col min="11783" max="11783" width="12.140625" style="21" bestFit="1" customWidth="1"/>
    <col min="11784" max="11784" width="14.28515625" style="21" bestFit="1" customWidth="1"/>
    <col min="11785" max="11785" width="4.7109375" style="21" bestFit="1" customWidth="1"/>
    <col min="11786" max="12029" width="8.85546875" style="21"/>
    <col min="12030" max="12030" width="6.28515625" style="21" bestFit="1" customWidth="1"/>
    <col min="12031" max="12031" width="40.28515625" style="21" bestFit="1" customWidth="1"/>
    <col min="12032" max="12032" width="13.28515625" style="21" bestFit="1" customWidth="1"/>
    <col min="12033" max="12033" width="13" style="21" bestFit="1" customWidth="1"/>
    <col min="12034" max="12034" width="10.42578125" style="21" bestFit="1" customWidth="1"/>
    <col min="12035" max="12035" width="7.42578125" style="21" bestFit="1" customWidth="1"/>
    <col min="12036" max="12036" width="6.140625" style="21" bestFit="1" customWidth="1"/>
    <col min="12037" max="12037" width="10.28515625" style="21" bestFit="1" customWidth="1"/>
    <col min="12038" max="12038" width="12.42578125" style="21" bestFit="1" customWidth="1"/>
    <col min="12039" max="12039" width="12.140625" style="21" bestFit="1" customWidth="1"/>
    <col min="12040" max="12040" width="14.28515625" style="21" bestFit="1" customWidth="1"/>
    <col min="12041" max="12041" width="4.7109375" style="21" bestFit="1" customWidth="1"/>
    <col min="12042" max="12285" width="8.85546875" style="21"/>
    <col min="12286" max="12286" width="6.28515625" style="21" bestFit="1" customWidth="1"/>
    <col min="12287" max="12287" width="40.28515625" style="21" bestFit="1" customWidth="1"/>
    <col min="12288" max="12288" width="13.28515625" style="21" bestFit="1" customWidth="1"/>
    <col min="12289" max="12289" width="13" style="21" bestFit="1" customWidth="1"/>
    <col min="12290" max="12290" width="10.42578125" style="21" bestFit="1" customWidth="1"/>
    <col min="12291" max="12291" width="7.42578125" style="21" bestFit="1" customWidth="1"/>
    <col min="12292" max="12292" width="6.140625" style="21" bestFit="1" customWidth="1"/>
    <col min="12293" max="12293" width="10.28515625" style="21" bestFit="1" customWidth="1"/>
    <col min="12294" max="12294" width="12.42578125" style="21" bestFit="1" customWidth="1"/>
    <col min="12295" max="12295" width="12.140625" style="21" bestFit="1" customWidth="1"/>
    <col min="12296" max="12296" width="14.28515625" style="21" bestFit="1" customWidth="1"/>
    <col min="12297" max="12297" width="4.7109375" style="21" bestFit="1" customWidth="1"/>
    <col min="12298" max="12541" width="8.85546875" style="21"/>
    <col min="12542" max="12542" width="6.28515625" style="21" bestFit="1" customWidth="1"/>
    <col min="12543" max="12543" width="40.28515625" style="21" bestFit="1" customWidth="1"/>
    <col min="12544" max="12544" width="13.28515625" style="21" bestFit="1" customWidth="1"/>
    <col min="12545" max="12545" width="13" style="21" bestFit="1" customWidth="1"/>
    <col min="12546" max="12546" width="10.42578125" style="21" bestFit="1" customWidth="1"/>
    <col min="12547" max="12547" width="7.42578125" style="21" bestFit="1" customWidth="1"/>
    <col min="12548" max="12548" width="6.140625" style="21" bestFit="1" customWidth="1"/>
    <col min="12549" max="12549" width="10.28515625" style="21" bestFit="1" customWidth="1"/>
    <col min="12550" max="12550" width="12.42578125" style="21" bestFit="1" customWidth="1"/>
    <col min="12551" max="12551" width="12.140625" style="21" bestFit="1" customWidth="1"/>
    <col min="12552" max="12552" width="14.28515625" style="21" bestFit="1" customWidth="1"/>
    <col min="12553" max="12553" width="4.7109375" style="21" bestFit="1" customWidth="1"/>
    <col min="12554" max="12797" width="8.85546875" style="21"/>
    <col min="12798" max="12798" width="6.28515625" style="21" bestFit="1" customWidth="1"/>
    <col min="12799" max="12799" width="40.28515625" style="21" bestFit="1" customWidth="1"/>
    <col min="12800" max="12800" width="13.28515625" style="21" bestFit="1" customWidth="1"/>
    <col min="12801" max="12801" width="13" style="21" bestFit="1" customWidth="1"/>
    <col min="12802" max="12802" width="10.42578125" style="21" bestFit="1" customWidth="1"/>
    <col min="12803" max="12803" width="7.42578125" style="21" bestFit="1" customWidth="1"/>
    <col min="12804" max="12804" width="6.140625" style="21" bestFit="1" customWidth="1"/>
    <col min="12805" max="12805" width="10.28515625" style="21" bestFit="1" customWidth="1"/>
    <col min="12806" max="12806" width="12.42578125" style="21" bestFit="1" customWidth="1"/>
    <col min="12807" max="12807" width="12.140625" style="21" bestFit="1" customWidth="1"/>
    <col min="12808" max="12808" width="14.28515625" style="21" bestFit="1" customWidth="1"/>
    <col min="12809" max="12809" width="4.7109375" style="21" bestFit="1" customWidth="1"/>
    <col min="12810" max="13053" width="8.85546875" style="21"/>
    <col min="13054" max="13054" width="6.28515625" style="21" bestFit="1" customWidth="1"/>
    <col min="13055" max="13055" width="40.28515625" style="21" bestFit="1" customWidth="1"/>
    <col min="13056" max="13056" width="13.28515625" style="21" bestFit="1" customWidth="1"/>
    <col min="13057" max="13057" width="13" style="21" bestFit="1" customWidth="1"/>
    <col min="13058" max="13058" width="10.42578125" style="21" bestFit="1" customWidth="1"/>
    <col min="13059" max="13059" width="7.42578125" style="21" bestFit="1" customWidth="1"/>
    <col min="13060" max="13060" width="6.140625" style="21" bestFit="1" customWidth="1"/>
    <col min="13061" max="13061" width="10.28515625" style="21" bestFit="1" customWidth="1"/>
    <col min="13062" max="13062" width="12.42578125" style="21" bestFit="1" customWidth="1"/>
    <col min="13063" max="13063" width="12.140625" style="21" bestFit="1" customWidth="1"/>
    <col min="13064" max="13064" width="14.28515625" style="21" bestFit="1" customWidth="1"/>
    <col min="13065" max="13065" width="4.7109375" style="21" bestFit="1" customWidth="1"/>
    <col min="13066" max="13309" width="8.85546875" style="21"/>
    <col min="13310" max="13310" width="6.28515625" style="21" bestFit="1" customWidth="1"/>
    <col min="13311" max="13311" width="40.28515625" style="21" bestFit="1" customWidth="1"/>
    <col min="13312" max="13312" width="13.28515625" style="21" bestFit="1" customWidth="1"/>
    <col min="13313" max="13313" width="13" style="21" bestFit="1" customWidth="1"/>
    <col min="13314" max="13314" width="10.42578125" style="21" bestFit="1" customWidth="1"/>
    <col min="13315" max="13315" width="7.42578125" style="21" bestFit="1" customWidth="1"/>
    <col min="13316" max="13316" width="6.140625" style="21" bestFit="1" customWidth="1"/>
    <col min="13317" max="13317" width="10.28515625" style="21" bestFit="1" customWidth="1"/>
    <col min="13318" max="13318" width="12.42578125" style="21" bestFit="1" customWidth="1"/>
    <col min="13319" max="13319" width="12.140625" style="21" bestFit="1" customWidth="1"/>
    <col min="13320" max="13320" width="14.28515625" style="21" bestFit="1" customWidth="1"/>
    <col min="13321" max="13321" width="4.7109375" style="21" bestFit="1" customWidth="1"/>
    <col min="13322" max="13565" width="8.85546875" style="21"/>
    <col min="13566" max="13566" width="6.28515625" style="21" bestFit="1" customWidth="1"/>
    <col min="13567" max="13567" width="40.28515625" style="21" bestFit="1" customWidth="1"/>
    <col min="13568" max="13568" width="13.28515625" style="21" bestFit="1" customWidth="1"/>
    <col min="13569" max="13569" width="13" style="21" bestFit="1" customWidth="1"/>
    <col min="13570" max="13570" width="10.42578125" style="21" bestFit="1" customWidth="1"/>
    <col min="13571" max="13571" width="7.42578125" style="21" bestFit="1" customWidth="1"/>
    <col min="13572" max="13572" width="6.140625" style="21" bestFit="1" customWidth="1"/>
    <col min="13573" max="13573" width="10.28515625" style="21" bestFit="1" customWidth="1"/>
    <col min="13574" max="13574" width="12.42578125" style="21" bestFit="1" customWidth="1"/>
    <col min="13575" max="13575" width="12.140625" style="21" bestFit="1" customWidth="1"/>
    <col min="13576" max="13576" width="14.28515625" style="21" bestFit="1" customWidth="1"/>
    <col min="13577" max="13577" width="4.7109375" style="21" bestFit="1" customWidth="1"/>
    <col min="13578" max="13821" width="8.85546875" style="21"/>
    <col min="13822" max="13822" width="6.28515625" style="21" bestFit="1" customWidth="1"/>
    <col min="13823" max="13823" width="40.28515625" style="21" bestFit="1" customWidth="1"/>
    <col min="13824" max="13824" width="13.28515625" style="21" bestFit="1" customWidth="1"/>
    <col min="13825" max="13825" width="13" style="21" bestFit="1" customWidth="1"/>
    <col min="13826" max="13826" width="10.42578125" style="21" bestFit="1" customWidth="1"/>
    <col min="13827" max="13827" width="7.42578125" style="21" bestFit="1" customWidth="1"/>
    <col min="13828" max="13828" width="6.140625" style="21" bestFit="1" customWidth="1"/>
    <col min="13829" max="13829" width="10.28515625" style="21" bestFit="1" customWidth="1"/>
    <col min="13830" max="13830" width="12.42578125" style="21" bestFit="1" customWidth="1"/>
    <col min="13831" max="13831" width="12.140625" style="21" bestFit="1" customWidth="1"/>
    <col min="13832" max="13832" width="14.28515625" style="21" bestFit="1" customWidth="1"/>
    <col min="13833" max="13833" width="4.7109375" style="21" bestFit="1" customWidth="1"/>
    <col min="13834" max="14077" width="8.85546875" style="21"/>
    <col min="14078" max="14078" width="6.28515625" style="21" bestFit="1" customWidth="1"/>
    <col min="14079" max="14079" width="40.28515625" style="21" bestFit="1" customWidth="1"/>
    <col min="14080" max="14080" width="13.28515625" style="21" bestFit="1" customWidth="1"/>
    <col min="14081" max="14081" width="13" style="21" bestFit="1" customWidth="1"/>
    <col min="14082" max="14082" width="10.42578125" style="21" bestFit="1" customWidth="1"/>
    <col min="14083" max="14083" width="7.42578125" style="21" bestFit="1" customWidth="1"/>
    <col min="14084" max="14084" width="6.140625" style="21" bestFit="1" customWidth="1"/>
    <col min="14085" max="14085" width="10.28515625" style="21" bestFit="1" customWidth="1"/>
    <col min="14086" max="14086" width="12.42578125" style="21" bestFit="1" customWidth="1"/>
    <col min="14087" max="14087" width="12.140625" style="21" bestFit="1" customWidth="1"/>
    <col min="14088" max="14088" width="14.28515625" style="21" bestFit="1" customWidth="1"/>
    <col min="14089" max="14089" width="4.7109375" style="21" bestFit="1" customWidth="1"/>
    <col min="14090" max="14333" width="8.85546875" style="21"/>
    <col min="14334" max="14334" width="6.28515625" style="21" bestFit="1" customWidth="1"/>
    <col min="14335" max="14335" width="40.28515625" style="21" bestFit="1" customWidth="1"/>
    <col min="14336" max="14336" width="13.28515625" style="21" bestFit="1" customWidth="1"/>
    <col min="14337" max="14337" width="13" style="21" bestFit="1" customWidth="1"/>
    <col min="14338" max="14338" width="10.42578125" style="21" bestFit="1" customWidth="1"/>
    <col min="14339" max="14339" width="7.42578125" style="21" bestFit="1" customWidth="1"/>
    <col min="14340" max="14340" width="6.140625" style="21" bestFit="1" customWidth="1"/>
    <col min="14341" max="14341" width="10.28515625" style="21" bestFit="1" customWidth="1"/>
    <col min="14342" max="14342" width="12.42578125" style="21" bestFit="1" customWidth="1"/>
    <col min="14343" max="14343" width="12.140625" style="21" bestFit="1" customWidth="1"/>
    <col min="14344" max="14344" width="14.28515625" style="21" bestFit="1" customWidth="1"/>
    <col min="14345" max="14345" width="4.7109375" style="21" bestFit="1" customWidth="1"/>
    <col min="14346" max="14589" width="8.85546875" style="21"/>
    <col min="14590" max="14590" width="6.28515625" style="21" bestFit="1" customWidth="1"/>
    <col min="14591" max="14591" width="40.28515625" style="21" bestFit="1" customWidth="1"/>
    <col min="14592" max="14592" width="13.28515625" style="21" bestFit="1" customWidth="1"/>
    <col min="14593" max="14593" width="13" style="21" bestFit="1" customWidth="1"/>
    <col min="14594" max="14594" width="10.42578125" style="21" bestFit="1" customWidth="1"/>
    <col min="14595" max="14595" width="7.42578125" style="21" bestFit="1" customWidth="1"/>
    <col min="14596" max="14596" width="6.140625" style="21" bestFit="1" customWidth="1"/>
    <col min="14597" max="14597" width="10.28515625" style="21" bestFit="1" customWidth="1"/>
    <col min="14598" max="14598" width="12.42578125" style="21" bestFit="1" customWidth="1"/>
    <col min="14599" max="14599" width="12.140625" style="21" bestFit="1" customWidth="1"/>
    <col min="14600" max="14600" width="14.28515625" style="21" bestFit="1" customWidth="1"/>
    <col min="14601" max="14601" width="4.7109375" style="21" bestFit="1" customWidth="1"/>
    <col min="14602" max="14845" width="8.85546875" style="21"/>
    <col min="14846" max="14846" width="6.28515625" style="21" bestFit="1" customWidth="1"/>
    <col min="14847" max="14847" width="40.28515625" style="21" bestFit="1" customWidth="1"/>
    <col min="14848" max="14848" width="13.28515625" style="21" bestFit="1" customWidth="1"/>
    <col min="14849" max="14849" width="13" style="21" bestFit="1" customWidth="1"/>
    <col min="14850" max="14850" width="10.42578125" style="21" bestFit="1" customWidth="1"/>
    <col min="14851" max="14851" width="7.42578125" style="21" bestFit="1" customWidth="1"/>
    <col min="14852" max="14852" width="6.140625" style="21" bestFit="1" customWidth="1"/>
    <col min="14853" max="14853" width="10.28515625" style="21" bestFit="1" customWidth="1"/>
    <col min="14854" max="14854" width="12.42578125" style="21" bestFit="1" customWidth="1"/>
    <col min="14855" max="14855" width="12.140625" style="21" bestFit="1" customWidth="1"/>
    <col min="14856" max="14856" width="14.28515625" style="21" bestFit="1" customWidth="1"/>
    <col min="14857" max="14857" width="4.7109375" style="21" bestFit="1" customWidth="1"/>
    <col min="14858" max="15101" width="8.85546875" style="21"/>
    <col min="15102" max="15102" width="6.28515625" style="21" bestFit="1" customWidth="1"/>
    <col min="15103" max="15103" width="40.28515625" style="21" bestFit="1" customWidth="1"/>
    <col min="15104" max="15104" width="13.28515625" style="21" bestFit="1" customWidth="1"/>
    <col min="15105" max="15105" width="13" style="21" bestFit="1" customWidth="1"/>
    <col min="15106" max="15106" width="10.42578125" style="21" bestFit="1" customWidth="1"/>
    <col min="15107" max="15107" width="7.42578125" style="21" bestFit="1" customWidth="1"/>
    <col min="15108" max="15108" width="6.140625" style="21" bestFit="1" customWidth="1"/>
    <col min="15109" max="15109" width="10.28515625" style="21" bestFit="1" customWidth="1"/>
    <col min="15110" max="15110" width="12.42578125" style="21" bestFit="1" customWidth="1"/>
    <col min="15111" max="15111" width="12.140625" style="21" bestFit="1" customWidth="1"/>
    <col min="15112" max="15112" width="14.28515625" style="21" bestFit="1" customWidth="1"/>
    <col min="15113" max="15113" width="4.7109375" style="21" bestFit="1" customWidth="1"/>
    <col min="15114" max="15357" width="8.85546875" style="21"/>
    <col min="15358" max="15358" width="6.28515625" style="21" bestFit="1" customWidth="1"/>
    <col min="15359" max="15359" width="40.28515625" style="21" bestFit="1" customWidth="1"/>
    <col min="15360" max="15360" width="13.28515625" style="21" bestFit="1" customWidth="1"/>
    <col min="15361" max="15361" width="13" style="21" bestFit="1" customWidth="1"/>
    <col min="15362" max="15362" width="10.42578125" style="21" bestFit="1" customWidth="1"/>
    <col min="15363" max="15363" width="7.42578125" style="21" bestFit="1" customWidth="1"/>
    <col min="15364" max="15364" width="6.140625" style="21" bestFit="1" customWidth="1"/>
    <col min="15365" max="15365" width="10.28515625" style="21" bestFit="1" customWidth="1"/>
    <col min="15366" max="15366" width="12.42578125" style="21" bestFit="1" customWidth="1"/>
    <col min="15367" max="15367" width="12.140625" style="21" bestFit="1" customWidth="1"/>
    <col min="15368" max="15368" width="14.28515625" style="21" bestFit="1" customWidth="1"/>
    <col min="15369" max="15369" width="4.7109375" style="21" bestFit="1" customWidth="1"/>
    <col min="15370" max="15613" width="8.85546875" style="21"/>
    <col min="15614" max="15614" width="6.28515625" style="21" bestFit="1" customWidth="1"/>
    <col min="15615" max="15615" width="40.28515625" style="21" bestFit="1" customWidth="1"/>
    <col min="15616" max="15616" width="13.28515625" style="21" bestFit="1" customWidth="1"/>
    <col min="15617" max="15617" width="13" style="21" bestFit="1" customWidth="1"/>
    <col min="15618" max="15618" width="10.42578125" style="21" bestFit="1" customWidth="1"/>
    <col min="15619" max="15619" width="7.42578125" style="21" bestFit="1" customWidth="1"/>
    <col min="15620" max="15620" width="6.140625" style="21" bestFit="1" customWidth="1"/>
    <col min="15621" max="15621" width="10.28515625" style="21" bestFit="1" customWidth="1"/>
    <col min="15622" max="15622" width="12.42578125" style="21" bestFit="1" customWidth="1"/>
    <col min="15623" max="15623" width="12.140625" style="21" bestFit="1" customWidth="1"/>
    <col min="15624" max="15624" width="14.28515625" style="21" bestFit="1" customWidth="1"/>
    <col min="15625" max="15625" width="4.7109375" style="21" bestFit="1" customWidth="1"/>
    <col min="15626" max="15869" width="8.85546875" style="21"/>
    <col min="15870" max="15870" width="6.28515625" style="21" bestFit="1" customWidth="1"/>
    <col min="15871" max="15871" width="40.28515625" style="21" bestFit="1" customWidth="1"/>
    <col min="15872" max="15872" width="13.28515625" style="21" bestFit="1" customWidth="1"/>
    <col min="15873" max="15873" width="13" style="21" bestFit="1" customWidth="1"/>
    <col min="15874" max="15874" width="10.42578125" style="21" bestFit="1" customWidth="1"/>
    <col min="15875" max="15875" width="7.42578125" style="21" bestFit="1" customWidth="1"/>
    <col min="15876" max="15876" width="6.140625" style="21" bestFit="1" customWidth="1"/>
    <col min="15877" max="15877" width="10.28515625" style="21" bestFit="1" customWidth="1"/>
    <col min="15878" max="15878" width="12.42578125" style="21" bestFit="1" customWidth="1"/>
    <col min="15879" max="15879" width="12.140625" style="21" bestFit="1" customWidth="1"/>
    <col min="15880" max="15880" width="14.28515625" style="21" bestFit="1" customWidth="1"/>
    <col min="15881" max="15881" width="4.7109375" style="21" bestFit="1" customWidth="1"/>
    <col min="15882" max="16125" width="8.85546875" style="21"/>
    <col min="16126" max="16126" width="6.28515625" style="21" bestFit="1" customWidth="1"/>
    <col min="16127" max="16127" width="40.28515625" style="21" bestFit="1" customWidth="1"/>
    <col min="16128" max="16128" width="13.28515625" style="21" bestFit="1" customWidth="1"/>
    <col min="16129" max="16129" width="13" style="21" bestFit="1" customWidth="1"/>
    <col min="16130" max="16130" width="10.42578125" style="21" bestFit="1" customWidth="1"/>
    <col min="16131" max="16131" width="7.42578125" style="21" bestFit="1" customWidth="1"/>
    <col min="16132" max="16132" width="6.140625" style="21" bestFit="1" customWidth="1"/>
    <col min="16133" max="16133" width="10.28515625" style="21" bestFit="1" customWidth="1"/>
    <col min="16134" max="16134" width="12.42578125" style="21" bestFit="1" customWidth="1"/>
    <col min="16135" max="16135" width="12.140625" style="21" bestFit="1" customWidth="1"/>
    <col min="16136" max="16136" width="14.28515625" style="21" bestFit="1" customWidth="1"/>
    <col min="16137" max="16137" width="4.7109375" style="21" bestFit="1" customWidth="1"/>
    <col min="16138" max="16384" width="8.85546875" style="21"/>
  </cols>
  <sheetData>
    <row r="1" spans="1:10" ht="15.75" customHeight="1">
      <c r="A1" s="1275" t="s">
        <v>1181</v>
      </c>
      <c r="B1" s="1275"/>
    </row>
    <row r="2" spans="1:10" s="24" customFormat="1" ht="60">
      <c r="A2" s="94" t="s">
        <v>212</v>
      </c>
      <c r="B2" s="94" t="s">
        <v>159</v>
      </c>
      <c r="C2" s="169" t="s">
        <v>213</v>
      </c>
      <c r="D2" s="169" t="s">
        <v>214</v>
      </c>
      <c r="E2" s="170" t="s">
        <v>372</v>
      </c>
      <c r="F2" s="171" t="s">
        <v>160</v>
      </c>
      <c r="G2" s="171" t="s">
        <v>445</v>
      </c>
      <c r="H2" s="171" t="s">
        <v>373</v>
      </c>
      <c r="I2" s="171" t="s">
        <v>374</v>
      </c>
      <c r="J2" s="171" t="s">
        <v>375</v>
      </c>
    </row>
    <row r="3" spans="1:10" s="24" customFormat="1" ht="18" customHeight="1">
      <c r="A3" s="114">
        <v>1</v>
      </c>
      <c r="B3" s="172" t="s">
        <v>1130</v>
      </c>
      <c r="C3" s="272">
        <v>550.97072749999995</v>
      </c>
      <c r="D3" s="273">
        <v>666224.08711152</v>
      </c>
      <c r="E3" s="974">
        <v>11.4</v>
      </c>
      <c r="F3" s="274">
        <v>1.1000000000000001</v>
      </c>
      <c r="G3" s="274">
        <v>0.68</v>
      </c>
      <c r="H3" s="174" t="s">
        <v>275</v>
      </c>
      <c r="I3" s="174" t="s">
        <v>275</v>
      </c>
      <c r="J3" s="174" t="s">
        <v>215</v>
      </c>
    </row>
    <row r="4" spans="1:10" s="24" customFormat="1" ht="18" customHeight="1">
      <c r="A4" s="114">
        <v>2</v>
      </c>
      <c r="B4" s="172" t="s">
        <v>1131</v>
      </c>
      <c r="C4" s="272">
        <v>6339.4407199999996</v>
      </c>
      <c r="D4" s="273">
        <v>629145.22264061996</v>
      </c>
      <c r="E4" s="974">
        <v>10.8</v>
      </c>
      <c r="F4" s="274">
        <v>1.0900000000000001</v>
      </c>
      <c r="G4" s="274">
        <v>0.53</v>
      </c>
      <c r="H4" s="174" t="s">
        <v>275</v>
      </c>
      <c r="I4" s="174" t="s">
        <v>275</v>
      </c>
      <c r="J4" s="174" t="s">
        <v>215</v>
      </c>
    </row>
    <row r="5" spans="1:10" s="24" customFormat="1" ht="18" customHeight="1">
      <c r="A5" s="114">
        <v>3</v>
      </c>
      <c r="B5" s="172" t="s">
        <v>1132</v>
      </c>
      <c r="C5" s="272">
        <v>2183.4226319999998</v>
      </c>
      <c r="D5" s="273">
        <v>475997.97575067001</v>
      </c>
      <c r="E5" s="974">
        <v>8.1999999999999993</v>
      </c>
      <c r="F5" s="274">
        <v>0.88</v>
      </c>
      <c r="G5" s="274">
        <v>0.48</v>
      </c>
      <c r="H5" s="174" t="s">
        <v>275</v>
      </c>
      <c r="I5" s="174" t="s">
        <v>275</v>
      </c>
      <c r="J5" s="174" t="s">
        <v>215</v>
      </c>
    </row>
    <row r="6" spans="1:10" s="24" customFormat="1" ht="18" customHeight="1">
      <c r="A6" s="114">
        <v>4</v>
      </c>
      <c r="B6" s="172" t="s">
        <v>1133</v>
      </c>
      <c r="C6" s="272">
        <v>349.0060014</v>
      </c>
      <c r="D6" s="273">
        <v>442691.95392940001</v>
      </c>
      <c r="E6" s="974">
        <v>7.6</v>
      </c>
      <c r="F6" s="274">
        <v>1.26</v>
      </c>
      <c r="G6" s="274">
        <v>0.66</v>
      </c>
      <c r="H6" s="174" t="s">
        <v>275</v>
      </c>
      <c r="I6" s="174" t="s">
        <v>275</v>
      </c>
      <c r="J6" s="174" t="s">
        <v>215</v>
      </c>
    </row>
    <row r="7" spans="1:10" s="24" customFormat="1" ht="18" customHeight="1">
      <c r="A7" s="114">
        <v>5</v>
      </c>
      <c r="B7" s="172" t="s">
        <v>1134</v>
      </c>
      <c r="C7" s="272">
        <v>1382.437195</v>
      </c>
      <c r="D7" s="273">
        <v>412694.48498002498</v>
      </c>
      <c r="E7" s="974">
        <v>7.1</v>
      </c>
      <c r="F7" s="274">
        <v>1.46</v>
      </c>
      <c r="G7" s="274">
        <v>0.7</v>
      </c>
      <c r="H7" s="174" t="s">
        <v>275</v>
      </c>
      <c r="I7" s="174" t="s">
        <v>275</v>
      </c>
      <c r="J7" s="174" t="s">
        <v>215</v>
      </c>
    </row>
    <row r="8" spans="1:10" s="24" customFormat="1" ht="18" customHeight="1">
      <c r="A8" s="114">
        <v>6</v>
      </c>
      <c r="B8" s="172" t="s">
        <v>1135</v>
      </c>
      <c r="C8" s="272">
        <v>375.23847060000003</v>
      </c>
      <c r="D8" s="273">
        <v>303566.54439757997</v>
      </c>
      <c r="E8" s="974">
        <v>5.2</v>
      </c>
      <c r="F8" s="274">
        <v>0.76</v>
      </c>
      <c r="G8" s="274">
        <v>0.46</v>
      </c>
      <c r="H8" s="174" t="s">
        <v>275</v>
      </c>
      <c r="I8" s="174" t="s">
        <v>275</v>
      </c>
      <c r="J8" s="174" t="s">
        <v>215</v>
      </c>
    </row>
    <row r="9" spans="1:10" s="24" customFormat="1" ht="18" customHeight="1">
      <c r="A9" s="114">
        <v>7</v>
      </c>
      <c r="B9" s="172" t="s">
        <v>1136</v>
      </c>
      <c r="C9" s="272">
        <v>990.49466800000005</v>
      </c>
      <c r="D9" s="273">
        <v>254948.15974699499</v>
      </c>
      <c r="E9" s="974">
        <v>4.4000000000000004</v>
      </c>
      <c r="F9" s="274">
        <v>1.1000000000000001</v>
      </c>
      <c r="G9" s="274">
        <v>0.56000000000000005</v>
      </c>
      <c r="H9" s="174" t="s">
        <v>275</v>
      </c>
      <c r="I9" s="174" t="s">
        <v>275</v>
      </c>
      <c r="J9" s="174" t="s">
        <v>215</v>
      </c>
    </row>
    <row r="10" spans="1:10" s="24" customFormat="1" ht="18" customHeight="1">
      <c r="A10" s="114">
        <v>8</v>
      </c>
      <c r="B10" s="172" t="s">
        <v>1138</v>
      </c>
      <c r="C10" s="272">
        <v>612.42920400000003</v>
      </c>
      <c r="D10" s="273">
        <v>189777.03539087999</v>
      </c>
      <c r="E10" s="974">
        <v>3.3</v>
      </c>
      <c r="F10" s="274">
        <v>1.58</v>
      </c>
      <c r="G10" s="274">
        <v>0.6</v>
      </c>
      <c r="H10" s="174" t="s">
        <v>275</v>
      </c>
      <c r="I10" s="174" t="s">
        <v>275</v>
      </c>
      <c r="J10" s="174" t="s">
        <v>215</v>
      </c>
    </row>
    <row r="11" spans="1:10" s="24" customFormat="1" ht="18" customHeight="1">
      <c r="A11" s="114">
        <v>9</v>
      </c>
      <c r="B11" s="172" t="s">
        <v>1137</v>
      </c>
      <c r="C11" s="272">
        <v>234.9556255</v>
      </c>
      <c r="D11" s="273">
        <v>190849.04795738499</v>
      </c>
      <c r="E11" s="974">
        <v>3.3</v>
      </c>
      <c r="F11" s="274">
        <v>0.61</v>
      </c>
      <c r="G11" s="274">
        <v>0.33</v>
      </c>
      <c r="H11" s="174" t="s">
        <v>275</v>
      </c>
      <c r="I11" s="174" t="s">
        <v>275</v>
      </c>
      <c r="J11" s="174" t="s">
        <v>215</v>
      </c>
    </row>
    <row r="12" spans="1:10" s="24" customFormat="1" ht="18" customHeight="1">
      <c r="A12" s="114">
        <v>10</v>
      </c>
      <c r="B12" s="172" t="s">
        <v>1140</v>
      </c>
      <c r="C12" s="272">
        <v>280.83514880000001</v>
      </c>
      <c r="D12" s="273">
        <v>174749.45749450001</v>
      </c>
      <c r="E12" s="974">
        <v>3</v>
      </c>
      <c r="F12" s="274">
        <v>0.98</v>
      </c>
      <c r="G12" s="274">
        <v>0.55000000000000004</v>
      </c>
      <c r="H12" s="174" t="s">
        <v>275</v>
      </c>
      <c r="I12" s="174" t="s">
        <v>275</v>
      </c>
      <c r="J12" s="174" t="s">
        <v>215</v>
      </c>
    </row>
    <row r="13" spans="1:10" s="24" customFormat="1" ht="18" customHeight="1">
      <c r="A13" s="114">
        <v>11</v>
      </c>
      <c r="B13" s="172" t="s">
        <v>1139</v>
      </c>
      <c r="C13" s="272">
        <v>1230.3358851999999</v>
      </c>
      <c r="D13" s="273">
        <v>177012.67685111999</v>
      </c>
      <c r="E13" s="974">
        <v>3</v>
      </c>
      <c r="F13" s="274">
        <v>0.65</v>
      </c>
      <c r="G13" s="274">
        <v>0.28000000000000003</v>
      </c>
      <c r="H13" s="174" t="s">
        <v>275</v>
      </c>
      <c r="I13" s="174" t="s">
        <v>275</v>
      </c>
      <c r="J13" s="174" t="s">
        <v>215</v>
      </c>
    </row>
    <row r="14" spans="1:10" s="24" customFormat="1" ht="18" customHeight="1">
      <c r="A14" s="114">
        <v>12</v>
      </c>
      <c r="B14" s="172" t="s">
        <v>1144</v>
      </c>
      <c r="C14" s="272">
        <v>892.46115339999994</v>
      </c>
      <c r="D14" s="273">
        <v>149322.955150125</v>
      </c>
      <c r="E14" s="974">
        <v>2.6</v>
      </c>
      <c r="F14" s="274">
        <v>1.2</v>
      </c>
      <c r="G14" s="274">
        <v>0.56000000000000005</v>
      </c>
      <c r="H14" s="174" t="s">
        <v>275</v>
      </c>
      <c r="I14" s="174" t="s">
        <v>275</v>
      </c>
      <c r="J14" s="174" t="s">
        <v>215</v>
      </c>
    </row>
    <row r="15" spans="1:10" s="24" customFormat="1" ht="18" customHeight="1">
      <c r="A15" s="114">
        <v>13</v>
      </c>
      <c r="B15" s="172" t="s">
        <v>1142</v>
      </c>
      <c r="C15" s="272">
        <v>120.5099678</v>
      </c>
      <c r="D15" s="273">
        <v>138185.89281680001</v>
      </c>
      <c r="E15" s="974">
        <v>2.4</v>
      </c>
      <c r="F15" s="274">
        <v>1.46</v>
      </c>
      <c r="G15" s="274">
        <v>0.55000000000000004</v>
      </c>
      <c r="H15" s="174" t="s">
        <v>275</v>
      </c>
      <c r="I15" s="174" t="s">
        <v>275</v>
      </c>
      <c r="J15" s="174" t="s">
        <v>215</v>
      </c>
    </row>
    <row r="16" spans="1:10" s="24" customFormat="1" ht="18" customHeight="1">
      <c r="A16" s="114">
        <v>14</v>
      </c>
      <c r="B16" s="172" t="s">
        <v>1141</v>
      </c>
      <c r="C16" s="272">
        <v>2727.7786775</v>
      </c>
      <c r="D16" s="273">
        <v>132758.02919781001</v>
      </c>
      <c r="E16" s="974">
        <v>2.2999999999999998</v>
      </c>
      <c r="F16" s="274">
        <v>0.79</v>
      </c>
      <c r="G16" s="274">
        <v>0.34</v>
      </c>
      <c r="H16" s="174" t="s">
        <v>275</v>
      </c>
      <c r="I16" s="174" t="s">
        <v>275</v>
      </c>
      <c r="J16" s="174" t="s">
        <v>215</v>
      </c>
    </row>
    <row r="17" spans="1:10" s="24" customFormat="1" ht="18" customHeight="1">
      <c r="A17" s="114">
        <v>15</v>
      </c>
      <c r="B17" s="172" t="s">
        <v>1143</v>
      </c>
      <c r="C17" s="272">
        <v>95.919779000000005</v>
      </c>
      <c r="D17" s="273">
        <v>103114.60732992001</v>
      </c>
      <c r="E17" s="974">
        <v>1.8</v>
      </c>
      <c r="F17" s="274">
        <v>0.7</v>
      </c>
      <c r="G17" s="274">
        <v>0.38</v>
      </c>
      <c r="H17" s="174" t="s">
        <v>275</v>
      </c>
      <c r="I17" s="174" t="s">
        <v>275</v>
      </c>
      <c r="J17" s="174" t="s">
        <v>215</v>
      </c>
    </row>
    <row r="18" spans="1:10" s="24" customFormat="1" ht="18" customHeight="1">
      <c r="A18" s="114">
        <v>16</v>
      </c>
      <c r="B18" s="172" t="s">
        <v>1145</v>
      </c>
      <c r="C18" s="272">
        <v>542.73301919999994</v>
      </c>
      <c r="D18" s="273">
        <v>97900.002686790001</v>
      </c>
      <c r="E18" s="974">
        <v>1.7</v>
      </c>
      <c r="F18" s="274">
        <v>0.79</v>
      </c>
      <c r="G18" s="274">
        <v>0.38</v>
      </c>
      <c r="H18" s="174" t="s">
        <v>275</v>
      </c>
      <c r="I18" s="174" t="s">
        <v>275</v>
      </c>
      <c r="J18" s="174" t="s">
        <v>215</v>
      </c>
    </row>
    <row r="19" spans="1:10" s="24" customFormat="1" ht="18" customHeight="1">
      <c r="A19" s="114">
        <v>17</v>
      </c>
      <c r="B19" s="172" t="s">
        <v>1146</v>
      </c>
      <c r="C19" s="272">
        <v>151.04003</v>
      </c>
      <c r="D19" s="273">
        <v>90493.315151269999</v>
      </c>
      <c r="E19" s="974">
        <v>1.6</v>
      </c>
      <c r="F19" s="274">
        <v>1.1000000000000001</v>
      </c>
      <c r="G19" s="274">
        <v>0.54</v>
      </c>
      <c r="H19" s="174" t="s">
        <v>275</v>
      </c>
      <c r="I19" s="174" t="s">
        <v>275</v>
      </c>
      <c r="J19" s="174" t="s">
        <v>215</v>
      </c>
    </row>
    <row r="20" spans="1:10" s="24" customFormat="1" ht="18" customHeight="1">
      <c r="A20" s="114">
        <v>18</v>
      </c>
      <c r="B20" s="172" t="s">
        <v>1147</v>
      </c>
      <c r="C20" s="272">
        <v>621.596272</v>
      </c>
      <c r="D20" s="273">
        <v>77229.613278720004</v>
      </c>
      <c r="E20" s="974">
        <v>1.3</v>
      </c>
      <c r="F20" s="274">
        <v>1.04</v>
      </c>
      <c r="G20" s="274">
        <v>0.42</v>
      </c>
      <c r="H20" s="174" t="s">
        <v>275</v>
      </c>
      <c r="I20" s="174" t="s">
        <v>275</v>
      </c>
      <c r="J20" s="174" t="s">
        <v>215</v>
      </c>
    </row>
    <row r="21" spans="1:10" s="24" customFormat="1" ht="18" customHeight="1">
      <c r="A21" s="114">
        <v>19</v>
      </c>
      <c r="B21" s="172" t="s">
        <v>1152</v>
      </c>
      <c r="C21" s="272">
        <v>288.63750599999997</v>
      </c>
      <c r="D21" s="273">
        <v>70639.881953000004</v>
      </c>
      <c r="E21" s="974">
        <v>1.2</v>
      </c>
      <c r="F21" s="274">
        <v>0.95</v>
      </c>
      <c r="G21" s="274">
        <v>0.56000000000000005</v>
      </c>
      <c r="H21" s="174" t="s">
        <v>275</v>
      </c>
      <c r="I21" s="174" t="s">
        <v>275</v>
      </c>
      <c r="J21" s="174" t="s">
        <v>215</v>
      </c>
    </row>
    <row r="22" spans="1:10" s="24" customFormat="1" ht="18" customHeight="1">
      <c r="A22" s="114">
        <v>20</v>
      </c>
      <c r="B22" s="172" t="s">
        <v>1148</v>
      </c>
      <c r="C22" s="272">
        <v>239.92753300000001</v>
      </c>
      <c r="D22" s="273">
        <v>64641.391670700003</v>
      </c>
      <c r="E22" s="974">
        <v>1.1000000000000001</v>
      </c>
      <c r="F22" s="274">
        <v>0.64</v>
      </c>
      <c r="G22" s="274">
        <v>0.28000000000000003</v>
      </c>
      <c r="H22" s="174" t="s">
        <v>275</v>
      </c>
      <c r="I22" s="174" t="s">
        <v>275</v>
      </c>
      <c r="J22" s="174" t="s">
        <v>215</v>
      </c>
    </row>
    <row r="23" spans="1:10" s="24" customFormat="1" ht="18" customHeight="1">
      <c r="A23" s="114">
        <v>21</v>
      </c>
      <c r="B23" s="172" t="s">
        <v>1156</v>
      </c>
      <c r="C23" s="272">
        <v>757.38420199999996</v>
      </c>
      <c r="D23" s="273">
        <v>60385.621565815003</v>
      </c>
      <c r="E23" s="974">
        <v>1</v>
      </c>
      <c r="F23" s="274">
        <v>1.68</v>
      </c>
      <c r="G23" s="274">
        <v>0.35</v>
      </c>
      <c r="H23" s="174" t="s">
        <v>275</v>
      </c>
      <c r="I23" s="174" t="s">
        <v>275</v>
      </c>
      <c r="J23" s="174" t="s">
        <v>215</v>
      </c>
    </row>
    <row r="24" spans="1:10" s="24" customFormat="1" ht="18" customHeight="1">
      <c r="A24" s="114">
        <v>22</v>
      </c>
      <c r="B24" s="172" t="s">
        <v>1149</v>
      </c>
      <c r="C24" s="272">
        <v>494.19021199999997</v>
      </c>
      <c r="D24" s="273">
        <v>58979.205914259997</v>
      </c>
      <c r="E24" s="974">
        <v>1</v>
      </c>
      <c r="F24" s="274">
        <v>0.87</v>
      </c>
      <c r="G24" s="274">
        <v>0.41</v>
      </c>
      <c r="H24" s="174" t="s">
        <v>275</v>
      </c>
      <c r="I24" s="174" t="s">
        <v>275</v>
      </c>
      <c r="J24" s="174" t="s">
        <v>215</v>
      </c>
    </row>
    <row r="25" spans="1:10" s="24" customFormat="1" ht="18" customHeight="1">
      <c r="A25" s="114">
        <v>23</v>
      </c>
      <c r="B25" s="172" t="s">
        <v>1150</v>
      </c>
      <c r="C25" s="272">
        <v>1143.2523507999999</v>
      </c>
      <c r="D25" s="273">
        <v>60046.961917029999</v>
      </c>
      <c r="E25" s="974">
        <v>1</v>
      </c>
      <c r="F25" s="274">
        <v>0.69</v>
      </c>
      <c r="G25" s="274">
        <v>0.28999999999999998</v>
      </c>
      <c r="H25" s="174" t="s">
        <v>275</v>
      </c>
      <c r="I25" s="174" t="s">
        <v>275</v>
      </c>
      <c r="J25" s="174" t="s">
        <v>215</v>
      </c>
    </row>
    <row r="26" spans="1:10" s="24" customFormat="1" ht="18" customHeight="1">
      <c r="A26" s="114">
        <v>24</v>
      </c>
      <c r="B26" s="172" t="s">
        <v>1151</v>
      </c>
      <c r="C26" s="272">
        <v>85.683152000000007</v>
      </c>
      <c r="D26" s="273">
        <v>56006.737074589997</v>
      </c>
      <c r="E26" s="974">
        <v>1</v>
      </c>
      <c r="F26" s="274">
        <v>0.47</v>
      </c>
      <c r="G26" s="274">
        <v>0.17</v>
      </c>
      <c r="H26" s="174" t="s">
        <v>275</v>
      </c>
      <c r="I26" s="174" t="s">
        <v>275</v>
      </c>
      <c r="J26" s="174" t="s">
        <v>215</v>
      </c>
    </row>
    <row r="27" spans="1:10" s="24" customFormat="1" ht="18" customHeight="1">
      <c r="A27" s="114">
        <v>25</v>
      </c>
      <c r="B27" s="172" t="s">
        <v>1155</v>
      </c>
      <c r="C27" s="272">
        <v>2020.6810829999999</v>
      </c>
      <c r="D27" s="273">
        <v>56058.367437134999</v>
      </c>
      <c r="E27" s="974">
        <v>1</v>
      </c>
      <c r="F27" s="274">
        <v>0.67</v>
      </c>
      <c r="G27" s="274">
        <v>0.22</v>
      </c>
      <c r="H27" s="174" t="s">
        <v>275</v>
      </c>
      <c r="I27" s="174" t="s">
        <v>275</v>
      </c>
      <c r="J27" s="174" t="s">
        <v>215</v>
      </c>
    </row>
    <row r="28" spans="1:10" s="24" customFormat="1" ht="18" customHeight="1">
      <c r="A28" s="114">
        <v>26</v>
      </c>
      <c r="B28" s="172" t="s">
        <v>1153</v>
      </c>
      <c r="C28" s="272">
        <v>88.778616</v>
      </c>
      <c r="D28" s="273">
        <v>58834.340725599999</v>
      </c>
      <c r="E28" s="974">
        <v>1</v>
      </c>
      <c r="F28" s="274">
        <v>0.87</v>
      </c>
      <c r="G28" s="274">
        <v>0.46</v>
      </c>
      <c r="H28" s="174" t="s">
        <v>275</v>
      </c>
      <c r="I28" s="174" t="s">
        <v>275</v>
      </c>
      <c r="J28" s="174" t="s">
        <v>215</v>
      </c>
    </row>
    <row r="29" spans="1:10" s="24" customFormat="1" ht="18" customHeight="1">
      <c r="A29" s="114">
        <v>27</v>
      </c>
      <c r="B29" s="172" t="s">
        <v>1154</v>
      </c>
      <c r="C29" s="272">
        <v>96.415716000000003</v>
      </c>
      <c r="D29" s="273">
        <v>57805.769671920003</v>
      </c>
      <c r="E29" s="974">
        <v>1</v>
      </c>
      <c r="F29" s="274">
        <v>0.56000000000000005</v>
      </c>
      <c r="G29" s="274">
        <v>0.28999999999999998</v>
      </c>
      <c r="H29" s="174" t="s">
        <v>275</v>
      </c>
      <c r="I29" s="174" t="s">
        <v>275</v>
      </c>
      <c r="J29" s="174" t="s">
        <v>215</v>
      </c>
    </row>
    <row r="30" spans="1:10" s="24" customFormat="1" ht="18" customHeight="1">
      <c r="A30" s="114">
        <v>28</v>
      </c>
      <c r="B30" s="172" t="s">
        <v>1164</v>
      </c>
      <c r="C30" s="272">
        <v>406.35035219999997</v>
      </c>
      <c r="D30" s="273">
        <v>49911.547769370001</v>
      </c>
      <c r="E30" s="974">
        <v>0.9</v>
      </c>
      <c r="F30" s="274">
        <v>0.93</v>
      </c>
      <c r="G30" s="274">
        <v>0.41</v>
      </c>
      <c r="H30" s="174" t="s">
        <v>275</v>
      </c>
      <c r="I30" s="174" t="s">
        <v>275</v>
      </c>
      <c r="J30" s="174" t="s">
        <v>215</v>
      </c>
    </row>
    <row r="31" spans="1:10" s="24" customFormat="1" ht="18" customHeight="1">
      <c r="A31" s="114">
        <v>29</v>
      </c>
      <c r="B31" s="172" t="s">
        <v>1160</v>
      </c>
      <c r="C31" s="272">
        <v>9894.5572800000009</v>
      </c>
      <c r="D31" s="273">
        <v>52002.513353560003</v>
      </c>
      <c r="E31" s="974">
        <v>0.9</v>
      </c>
      <c r="F31" s="274">
        <v>0.66</v>
      </c>
      <c r="G31" s="274">
        <v>0.3</v>
      </c>
      <c r="H31" s="174" t="s">
        <v>275</v>
      </c>
      <c r="I31" s="174" t="s">
        <v>275</v>
      </c>
      <c r="J31" s="174" t="s">
        <v>215</v>
      </c>
    </row>
    <row r="32" spans="1:10" s="24" customFormat="1" ht="18" customHeight="1">
      <c r="A32" s="114">
        <v>30</v>
      </c>
      <c r="B32" s="172" t="s">
        <v>1168</v>
      </c>
      <c r="C32" s="272">
        <v>224.6622945</v>
      </c>
      <c r="D32" s="273">
        <v>49756.723090225001</v>
      </c>
      <c r="E32" s="974">
        <v>0.9</v>
      </c>
      <c r="F32" s="274">
        <v>1.37</v>
      </c>
      <c r="G32" s="274">
        <v>0.54</v>
      </c>
      <c r="H32" s="174" t="s">
        <v>275</v>
      </c>
      <c r="I32" s="174" t="s">
        <v>275</v>
      </c>
      <c r="J32" s="174" t="s">
        <v>215</v>
      </c>
    </row>
    <row r="33" spans="1:10" s="24" customFormat="1" ht="18" customHeight="1">
      <c r="A33" s="114">
        <v>31</v>
      </c>
      <c r="B33" s="172" t="s">
        <v>1161</v>
      </c>
      <c r="C33" s="272">
        <v>1126.4923739999999</v>
      </c>
      <c r="D33" s="273">
        <v>50928.242771254998</v>
      </c>
      <c r="E33" s="974">
        <v>0.9</v>
      </c>
      <c r="F33" s="274">
        <v>1.07</v>
      </c>
      <c r="G33" s="274">
        <v>0.46</v>
      </c>
      <c r="H33" s="174" t="s">
        <v>275</v>
      </c>
      <c r="I33" s="174" t="s">
        <v>275</v>
      </c>
      <c r="J33" s="174" t="s">
        <v>215</v>
      </c>
    </row>
    <row r="34" spans="1:10" s="24" customFormat="1" ht="18" customHeight="1">
      <c r="A34" s="114">
        <v>32</v>
      </c>
      <c r="B34" s="172" t="s">
        <v>1158</v>
      </c>
      <c r="C34" s="272">
        <v>5231.5896480000001</v>
      </c>
      <c r="D34" s="273">
        <v>54554.720453200003</v>
      </c>
      <c r="E34" s="974">
        <v>0.9</v>
      </c>
      <c r="F34" s="274">
        <v>0.61</v>
      </c>
      <c r="G34" s="274">
        <v>0.28999999999999998</v>
      </c>
      <c r="H34" s="174" t="s">
        <v>275</v>
      </c>
      <c r="I34" s="174" t="s">
        <v>275</v>
      </c>
      <c r="J34" s="174" t="s">
        <v>215</v>
      </c>
    </row>
    <row r="35" spans="1:10" s="24" customFormat="1" ht="18" customHeight="1">
      <c r="A35" s="114">
        <v>33</v>
      </c>
      <c r="B35" s="172" t="s">
        <v>1157</v>
      </c>
      <c r="C35" s="272">
        <v>289.36702000000002</v>
      </c>
      <c r="D35" s="273">
        <v>45825.1768008</v>
      </c>
      <c r="E35" s="974">
        <v>0.8</v>
      </c>
      <c r="F35" s="274">
        <v>0.81</v>
      </c>
      <c r="G35" s="274">
        <v>0.43</v>
      </c>
      <c r="H35" s="174" t="s">
        <v>275</v>
      </c>
      <c r="I35" s="174" t="s">
        <v>275</v>
      </c>
      <c r="J35" s="174" t="s">
        <v>215</v>
      </c>
    </row>
    <row r="36" spans="1:10" s="24" customFormat="1" ht="18" customHeight="1">
      <c r="A36" s="114">
        <v>34</v>
      </c>
      <c r="B36" s="172" t="s">
        <v>1165</v>
      </c>
      <c r="C36" s="272">
        <v>131.59020079999999</v>
      </c>
      <c r="D36" s="273">
        <v>46519.099471599999</v>
      </c>
      <c r="E36" s="974">
        <v>0.8</v>
      </c>
      <c r="F36" s="274">
        <v>1.1200000000000001</v>
      </c>
      <c r="G36" s="274">
        <v>0.55000000000000004</v>
      </c>
      <c r="H36" s="174" t="s">
        <v>275</v>
      </c>
      <c r="I36" s="174" t="s">
        <v>275</v>
      </c>
      <c r="J36" s="174" t="s">
        <v>215</v>
      </c>
    </row>
    <row r="37" spans="1:10" s="24" customFormat="1" ht="18" customHeight="1">
      <c r="A37" s="114">
        <v>35</v>
      </c>
      <c r="B37" s="172" t="s">
        <v>1159</v>
      </c>
      <c r="C37" s="272">
        <v>39.956043399999999</v>
      </c>
      <c r="D37" s="273">
        <v>42016.950549599998</v>
      </c>
      <c r="E37" s="974">
        <v>0.7</v>
      </c>
      <c r="F37" s="274">
        <v>0.86</v>
      </c>
      <c r="G37" s="274">
        <v>0.38</v>
      </c>
      <c r="H37" s="174" t="s">
        <v>275</v>
      </c>
      <c r="I37" s="174" t="s">
        <v>275</v>
      </c>
      <c r="J37" s="174" t="s">
        <v>215</v>
      </c>
    </row>
    <row r="38" spans="1:10" s="24" customFormat="1" ht="18" customHeight="1">
      <c r="A38" s="114">
        <v>36</v>
      </c>
      <c r="B38" s="172" t="s">
        <v>1167</v>
      </c>
      <c r="C38" s="272">
        <v>6290.1396029999996</v>
      </c>
      <c r="D38" s="273">
        <v>40907.762444400003</v>
      </c>
      <c r="E38" s="974">
        <v>0.7</v>
      </c>
      <c r="F38" s="274">
        <v>1.03</v>
      </c>
      <c r="G38" s="274">
        <v>0.33</v>
      </c>
      <c r="H38" s="174" t="s">
        <v>275</v>
      </c>
      <c r="I38" s="174" t="s">
        <v>275</v>
      </c>
      <c r="J38" s="174" t="s">
        <v>215</v>
      </c>
    </row>
    <row r="39" spans="1:10" s="24" customFormat="1" ht="18" customHeight="1">
      <c r="A39" s="114">
        <v>37</v>
      </c>
      <c r="B39" s="172" t="s">
        <v>1163</v>
      </c>
      <c r="C39" s="272">
        <v>161.29208919999999</v>
      </c>
      <c r="D39" s="273">
        <v>40215.864965264998</v>
      </c>
      <c r="E39" s="974">
        <v>0.7</v>
      </c>
      <c r="F39" s="274">
        <v>0.39</v>
      </c>
      <c r="G39" s="274">
        <v>7.0000000000000007E-2</v>
      </c>
      <c r="H39" s="174" t="s">
        <v>275</v>
      </c>
      <c r="I39" s="174" t="s">
        <v>275</v>
      </c>
      <c r="J39" s="174" t="s">
        <v>215</v>
      </c>
    </row>
    <row r="40" spans="1:10" s="24" customFormat="1" ht="18" customHeight="1">
      <c r="A40" s="114">
        <v>38</v>
      </c>
      <c r="B40" s="172" t="s">
        <v>1162</v>
      </c>
      <c r="C40" s="272">
        <v>24.086829600000002</v>
      </c>
      <c r="D40" s="273">
        <v>40067.444020499999</v>
      </c>
      <c r="E40" s="974">
        <v>0.7</v>
      </c>
      <c r="F40" s="274">
        <v>0.7</v>
      </c>
      <c r="G40" s="274">
        <v>0.39</v>
      </c>
      <c r="H40" s="174" t="s">
        <v>275</v>
      </c>
      <c r="I40" s="174" t="s">
        <v>275</v>
      </c>
      <c r="J40" s="174" t="s">
        <v>215</v>
      </c>
    </row>
    <row r="41" spans="1:10" s="24" customFormat="1" ht="18" customHeight="1">
      <c r="A41" s="114">
        <v>39</v>
      </c>
      <c r="B41" s="172" t="s">
        <v>1166</v>
      </c>
      <c r="C41" s="272">
        <v>2169.2140439999998</v>
      </c>
      <c r="D41" s="273">
        <v>35942.626509540001</v>
      </c>
      <c r="E41" s="974">
        <v>0.6</v>
      </c>
      <c r="F41" s="274">
        <v>1.05</v>
      </c>
      <c r="G41" s="274">
        <v>0.41</v>
      </c>
      <c r="H41" s="174" t="s">
        <v>275</v>
      </c>
      <c r="I41" s="174" t="s">
        <v>275</v>
      </c>
      <c r="J41" s="174" t="s">
        <v>215</v>
      </c>
    </row>
    <row r="42" spans="1:10" s="24" customFormat="1" ht="18" customHeight="1">
      <c r="A42" s="114">
        <v>40</v>
      </c>
      <c r="B42" s="172" t="s">
        <v>1169</v>
      </c>
      <c r="C42" s="272">
        <v>6162.7283269999998</v>
      </c>
      <c r="D42" s="273">
        <v>31697.604582839998</v>
      </c>
      <c r="E42" s="974">
        <v>0.5</v>
      </c>
      <c r="F42" s="274">
        <v>0.66</v>
      </c>
      <c r="G42" s="274">
        <v>0.26</v>
      </c>
      <c r="H42" s="174" t="s">
        <v>275</v>
      </c>
      <c r="I42" s="174" t="s">
        <v>275</v>
      </c>
      <c r="J42" s="174" t="s">
        <v>215</v>
      </c>
    </row>
    <row r="43" spans="1:10" s="24" customFormat="1" ht="18.75" customHeight="1">
      <c r="A43" s="1299" t="s">
        <v>36</v>
      </c>
      <c r="B43" s="1299"/>
      <c r="C43" s="1299"/>
      <c r="D43" s="1299"/>
      <c r="E43" s="1299"/>
      <c r="F43" s="1299"/>
      <c r="G43" s="1299"/>
      <c r="H43" s="1299"/>
      <c r="I43" s="1299"/>
      <c r="J43" s="1299"/>
    </row>
    <row r="44" spans="1:10" s="24" customFormat="1" ht="18" customHeight="1">
      <c r="A44" s="1299" t="s">
        <v>216</v>
      </c>
      <c r="B44" s="1299"/>
      <c r="C44" s="1299"/>
      <c r="D44" s="1299"/>
      <c r="E44" s="1299"/>
      <c r="F44" s="1299"/>
      <c r="G44" s="1299"/>
      <c r="H44" s="1299"/>
      <c r="I44" s="1299"/>
      <c r="J44" s="1299"/>
    </row>
    <row r="45" spans="1:10" s="24" customFormat="1" ht="18" customHeight="1">
      <c r="A45" s="1299" t="s">
        <v>448</v>
      </c>
      <c r="B45" s="1299"/>
      <c r="C45" s="1299"/>
      <c r="D45" s="1299"/>
      <c r="E45" s="1299"/>
      <c r="F45" s="1299"/>
      <c r="G45" s="1299"/>
      <c r="H45" s="1299"/>
      <c r="I45" s="1299"/>
      <c r="J45" s="1299"/>
    </row>
    <row r="46" spans="1:10" s="24" customFormat="1" ht="18" customHeight="1">
      <c r="A46" s="1299" t="s">
        <v>217</v>
      </c>
      <c r="B46" s="1299"/>
      <c r="C46" s="1299"/>
      <c r="D46" s="1299"/>
      <c r="E46" s="1299"/>
      <c r="F46" s="1299"/>
      <c r="G46" s="1299"/>
      <c r="H46" s="1299"/>
      <c r="I46" s="1299"/>
      <c r="J46" s="1299"/>
    </row>
    <row r="47" spans="1:10" s="24" customFormat="1" ht="18" customHeight="1">
      <c r="A47" s="1299" t="s">
        <v>365</v>
      </c>
      <c r="B47" s="1299"/>
      <c r="C47" s="1299"/>
      <c r="D47" s="1299"/>
      <c r="E47" s="1299"/>
      <c r="F47" s="1299"/>
      <c r="G47" s="1299"/>
      <c r="H47" s="1299"/>
      <c r="I47" s="1299"/>
      <c r="J47" s="1299"/>
    </row>
    <row r="48" spans="1:10" s="24" customFormat="1" ht="18" customHeight="1">
      <c r="A48" s="1299" t="s">
        <v>158</v>
      </c>
      <c r="B48" s="1299"/>
      <c r="C48" s="1299"/>
      <c r="D48" s="1299"/>
      <c r="E48" s="1299"/>
      <c r="F48" s="1299"/>
      <c r="G48" s="1299"/>
      <c r="H48" s="1299"/>
      <c r="I48" s="1299"/>
      <c r="J48" s="1299"/>
    </row>
    <row r="49" spans="3:10" s="24" customFormat="1" ht="28.35" customHeight="1">
      <c r="C49" s="175"/>
      <c r="D49" s="175"/>
      <c r="E49" s="176"/>
      <c r="F49" s="175"/>
      <c r="G49" s="175"/>
      <c r="H49" s="175"/>
      <c r="I49" s="175"/>
      <c r="J49" s="175"/>
    </row>
  </sheetData>
  <mergeCells count="7">
    <mergeCell ref="A48:J48"/>
    <mergeCell ref="A1:B1"/>
    <mergeCell ref="A43:J43"/>
    <mergeCell ref="A44:J44"/>
    <mergeCell ref="A45:J45"/>
    <mergeCell ref="A46:J46"/>
    <mergeCell ref="A47:J47"/>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20"/>
  <sheetViews>
    <sheetView workbookViewId="0">
      <selection activeCell="G30" sqref="G30"/>
    </sheetView>
  </sheetViews>
  <sheetFormatPr defaultColWidth="8.85546875" defaultRowHeight="15"/>
  <cols>
    <col min="1" max="3" width="10.7109375" style="21" bestFit="1" customWidth="1"/>
    <col min="4" max="4" width="15.7109375" style="21" customWidth="1"/>
    <col min="5" max="6" width="10.7109375" style="21" bestFit="1" customWidth="1"/>
    <col min="7" max="7" width="17.7109375" style="21" customWidth="1"/>
    <col min="8" max="9" width="10.7109375" style="21" bestFit="1" customWidth="1"/>
    <col min="10" max="10" width="15.5703125" style="21" customWidth="1"/>
    <col min="11" max="11" width="4.7109375" style="21" bestFit="1" customWidth="1"/>
    <col min="12" max="249" width="8.85546875" style="21"/>
    <col min="250" max="259" width="10.7109375" style="21" bestFit="1" customWidth="1"/>
    <col min="260" max="260" width="4.7109375" style="21" bestFit="1" customWidth="1"/>
    <col min="261" max="505" width="8.85546875" style="21"/>
    <col min="506" max="515" width="10.7109375" style="21" bestFit="1" customWidth="1"/>
    <col min="516" max="516" width="4.7109375" style="21" bestFit="1" customWidth="1"/>
    <col min="517" max="761" width="8.85546875" style="21"/>
    <col min="762" max="771" width="10.7109375" style="21" bestFit="1" customWidth="1"/>
    <col min="772" max="772" width="4.7109375" style="21" bestFit="1" customWidth="1"/>
    <col min="773" max="1017" width="8.85546875" style="21"/>
    <col min="1018" max="1027" width="10.7109375" style="21" bestFit="1" customWidth="1"/>
    <col min="1028" max="1028" width="4.7109375" style="21" bestFit="1" customWidth="1"/>
    <col min="1029" max="1273" width="8.85546875" style="21"/>
    <col min="1274" max="1283" width="10.7109375" style="21" bestFit="1" customWidth="1"/>
    <col min="1284" max="1284" width="4.7109375" style="21" bestFit="1" customWidth="1"/>
    <col min="1285" max="1529" width="8.85546875" style="21"/>
    <col min="1530" max="1539" width="10.7109375" style="21" bestFit="1" customWidth="1"/>
    <col min="1540" max="1540" width="4.7109375" style="21" bestFit="1" customWidth="1"/>
    <col min="1541" max="1785" width="8.85546875" style="21"/>
    <col min="1786" max="1795" width="10.7109375" style="21" bestFit="1" customWidth="1"/>
    <col min="1796" max="1796" width="4.7109375" style="21" bestFit="1" customWidth="1"/>
    <col min="1797" max="2041" width="8.85546875" style="21"/>
    <col min="2042" max="2051" width="10.7109375" style="21" bestFit="1" customWidth="1"/>
    <col min="2052" max="2052" width="4.7109375" style="21" bestFit="1" customWidth="1"/>
    <col min="2053" max="2297" width="8.85546875" style="21"/>
    <col min="2298" max="2307" width="10.7109375" style="21" bestFit="1" customWidth="1"/>
    <col min="2308" max="2308" width="4.7109375" style="21" bestFit="1" customWidth="1"/>
    <col min="2309" max="2553" width="8.85546875" style="21"/>
    <col min="2554" max="2563" width="10.7109375" style="21" bestFit="1" customWidth="1"/>
    <col min="2564" max="2564" width="4.7109375" style="21" bestFit="1" customWidth="1"/>
    <col min="2565" max="2809" width="8.85546875" style="21"/>
    <col min="2810" max="2819" width="10.7109375" style="21" bestFit="1" customWidth="1"/>
    <col min="2820" max="2820" width="4.7109375" style="21" bestFit="1" customWidth="1"/>
    <col min="2821" max="3065" width="8.85546875" style="21"/>
    <col min="3066" max="3075" width="10.7109375" style="21" bestFit="1" customWidth="1"/>
    <col min="3076" max="3076" width="4.7109375" style="21" bestFit="1" customWidth="1"/>
    <col min="3077" max="3321" width="8.85546875" style="21"/>
    <col min="3322" max="3331" width="10.7109375" style="21" bestFit="1" customWidth="1"/>
    <col min="3332" max="3332" width="4.7109375" style="21" bestFit="1" customWidth="1"/>
    <col min="3333" max="3577" width="8.85546875" style="21"/>
    <col min="3578" max="3587" width="10.7109375" style="21" bestFit="1" customWidth="1"/>
    <col min="3588" max="3588" width="4.7109375" style="21" bestFit="1" customWidth="1"/>
    <col min="3589" max="3833" width="8.85546875" style="21"/>
    <col min="3834" max="3843" width="10.7109375" style="21" bestFit="1" customWidth="1"/>
    <col min="3844" max="3844" width="4.7109375" style="21" bestFit="1" customWidth="1"/>
    <col min="3845" max="4089" width="8.85546875" style="21"/>
    <col min="4090" max="4099" width="10.7109375" style="21" bestFit="1" customWidth="1"/>
    <col min="4100" max="4100" width="4.7109375" style="21" bestFit="1" customWidth="1"/>
    <col min="4101" max="4345" width="8.85546875" style="21"/>
    <col min="4346" max="4355" width="10.7109375" style="21" bestFit="1" customWidth="1"/>
    <col min="4356" max="4356" width="4.7109375" style="21" bestFit="1" customWidth="1"/>
    <col min="4357" max="4601" width="8.85546875" style="21"/>
    <col min="4602" max="4611" width="10.7109375" style="21" bestFit="1" customWidth="1"/>
    <col min="4612" max="4612" width="4.7109375" style="21" bestFit="1" customWidth="1"/>
    <col min="4613" max="4857" width="8.85546875" style="21"/>
    <col min="4858" max="4867" width="10.7109375" style="21" bestFit="1" customWidth="1"/>
    <col min="4868" max="4868" width="4.7109375" style="21" bestFit="1" customWidth="1"/>
    <col min="4869" max="5113" width="8.85546875" style="21"/>
    <col min="5114" max="5123" width="10.7109375" style="21" bestFit="1" customWidth="1"/>
    <col min="5124" max="5124" width="4.7109375" style="21" bestFit="1" customWidth="1"/>
    <col min="5125" max="5369" width="8.85546875" style="21"/>
    <col min="5370" max="5379" width="10.7109375" style="21" bestFit="1" customWidth="1"/>
    <col min="5380" max="5380" width="4.7109375" style="21" bestFit="1" customWidth="1"/>
    <col min="5381" max="5625" width="8.85546875" style="21"/>
    <col min="5626" max="5635" width="10.7109375" style="21" bestFit="1" customWidth="1"/>
    <col min="5636" max="5636" width="4.7109375" style="21" bestFit="1" customWidth="1"/>
    <col min="5637" max="5881" width="8.85546875" style="21"/>
    <col min="5882" max="5891" width="10.7109375" style="21" bestFit="1" customWidth="1"/>
    <col min="5892" max="5892" width="4.7109375" style="21" bestFit="1" customWidth="1"/>
    <col min="5893" max="6137" width="8.85546875" style="21"/>
    <col min="6138" max="6147" width="10.7109375" style="21" bestFit="1" customWidth="1"/>
    <col min="6148" max="6148" width="4.7109375" style="21" bestFit="1" customWidth="1"/>
    <col min="6149" max="6393" width="8.85546875" style="21"/>
    <col min="6394" max="6403" width="10.7109375" style="21" bestFit="1" customWidth="1"/>
    <col min="6404" max="6404" width="4.7109375" style="21" bestFit="1" customWidth="1"/>
    <col min="6405" max="6649" width="8.85546875" style="21"/>
    <col min="6650" max="6659" width="10.7109375" style="21" bestFit="1" customWidth="1"/>
    <col min="6660" max="6660" width="4.7109375" style="21" bestFit="1" customWidth="1"/>
    <col min="6661" max="6905" width="8.85546875" style="21"/>
    <col min="6906" max="6915" width="10.7109375" style="21" bestFit="1" customWidth="1"/>
    <col min="6916" max="6916" width="4.7109375" style="21" bestFit="1" customWidth="1"/>
    <col min="6917" max="7161" width="8.85546875" style="21"/>
    <col min="7162" max="7171" width="10.7109375" style="21" bestFit="1" customWidth="1"/>
    <col min="7172" max="7172" width="4.7109375" style="21" bestFit="1" customWidth="1"/>
    <col min="7173" max="7417" width="8.85546875" style="21"/>
    <col min="7418" max="7427" width="10.7109375" style="21" bestFit="1" customWidth="1"/>
    <col min="7428" max="7428" width="4.7109375" style="21" bestFit="1" customWidth="1"/>
    <col min="7429" max="7673" width="8.85546875" style="21"/>
    <col min="7674" max="7683" width="10.7109375" style="21" bestFit="1" customWidth="1"/>
    <col min="7684" max="7684" width="4.7109375" style="21" bestFit="1" customWidth="1"/>
    <col min="7685" max="7929" width="8.85546875" style="21"/>
    <col min="7930" max="7939" width="10.7109375" style="21" bestFit="1" customWidth="1"/>
    <col min="7940" max="7940" width="4.7109375" style="21" bestFit="1" customWidth="1"/>
    <col min="7941" max="8185" width="8.85546875" style="21"/>
    <col min="8186" max="8195" width="10.7109375" style="21" bestFit="1" customWidth="1"/>
    <col min="8196" max="8196" width="4.7109375" style="21" bestFit="1" customWidth="1"/>
    <col min="8197" max="8441" width="8.85546875" style="21"/>
    <col min="8442" max="8451" width="10.7109375" style="21" bestFit="1" customWidth="1"/>
    <col min="8452" max="8452" width="4.7109375" style="21" bestFit="1" customWidth="1"/>
    <col min="8453" max="8697" width="8.85546875" style="21"/>
    <col min="8698" max="8707" width="10.7109375" style="21" bestFit="1" customWidth="1"/>
    <col min="8708" max="8708" width="4.7109375" style="21" bestFit="1" customWidth="1"/>
    <col min="8709" max="8953" width="8.85546875" style="21"/>
    <col min="8954" max="8963" width="10.7109375" style="21" bestFit="1" customWidth="1"/>
    <col min="8964" max="8964" width="4.7109375" style="21" bestFit="1" customWidth="1"/>
    <col min="8965" max="9209" width="8.85546875" style="21"/>
    <col min="9210" max="9219" width="10.7109375" style="21" bestFit="1" customWidth="1"/>
    <col min="9220" max="9220" width="4.7109375" style="21" bestFit="1" customWidth="1"/>
    <col min="9221" max="9465" width="8.85546875" style="21"/>
    <col min="9466" max="9475" width="10.7109375" style="21" bestFit="1" customWidth="1"/>
    <col min="9476" max="9476" width="4.7109375" style="21" bestFit="1" customWidth="1"/>
    <col min="9477" max="9721" width="8.85546875" style="21"/>
    <col min="9722" max="9731" width="10.7109375" style="21" bestFit="1" customWidth="1"/>
    <col min="9732" max="9732" width="4.7109375" style="21" bestFit="1" customWidth="1"/>
    <col min="9733" max="9977" width="8.85546875" style="21"/>
    <col min="9978" max="9987" width="10.7109375" style="21" bestFit="1" customWidth="1"/>
    <col min="9988" max="9988" width="4.7109375" style="21" bestFit="1" customWidth="1"/>
    <col min="9989" max="10233" width="8.85546875" style="21"/>
    <col min="10234" max="10243" width="10.7109375" style="21" bestFit="1" customWidth="1"/>
    <col min="10244" max="10244" width="4.7109375" style="21" bestFit="1" customWidth="1"/>
    <col min="10245" max="10489" width="8.85546875" style="21"/>
    <col min="10490" max="10499" width="10.7109375" style="21" bestFit="1" customWidth="1"/>
    <col min="10500" max="10500" width="4.7109375" style="21" bestFit="1" customWidth="1"/>
    <col min="10501" max="10745" width="8.85546875" style="21"/>
    <col min="10746" max="10755" width="10.7109375" style="21" bestFit="1" customWidth="1"/>
    <col min="10756" max="10756" width="4.7109375" style="21" bestFit="1" customWidth="1"/>
    <col min="10757" max="11001" width="8.85546875" style="21"/>
    <col min="11002" max="11011" width="10.7109375" style="21" bestFit="1" customWidth="1"/>
    <col min="11012" max="11012" width="4.7109375" style="21" bestFit="1" customWidth="1"/>
    <col min="11013" max="11257" width="8.85546875" style="21"/>
    <col min="11258" max="11267" width="10.7109375" style="21" bestFit="1" customWidth="1"/>
    <col min="11268" max="11268" width="4.7109375" style="21" bestFit="1" customWidth="1"/>
    <col min="11269" max="11513" width="8.85546875" style="21"/>
    <col min="11514" max="11523" width="10.7109375" style="21" bestFit="1" customWidth="1"/>
    <col min="11524" max="11524" width="4.7109375" style="21" bestFit="1" customWidth="1"/>
    <col min="11525" max="11769" width="8.85546875" style="21"/>
    <col min="11770" max="11779" width="10.7109375" style="21" bestFit="1" customWidth="1"/>
    <col min="11780" max="11780" width="4.7109375" style="21" bestFit="1" customWidth="1"/>
    <col min="11781" max="12025" width="8.85546875" style="21"/>
    <col min="12026" max="12035" width="10.7109375" style="21" bestFit="1" customWidth="1"/>
    <col min="12036" max="12036" width="4.7109375" style="21" bestFit="1" customWidth="1"/>
    <col min="12037" max="12281" width="8.85546875" style="21"/>
    <col min="12282" max="12291" width="10.7109375" style="21" bestFit="1" customWidth="1"/>
    <col min="12292" max="12292" width="4.7109375" style="21" bestFit="1" customWidth="1"/>
    <col min="12293" max="12537" width="8.85546875" style="21"/>
    <col min="12538" max="12547" width="10.7109375" style="21" bestFit="1" customWidth="1"/>
    <col min="12548" max="12548" width="4.7109375" style="21" bestFit="1" customWidth="1"/>
    <col min="12549" max="12793" width="8.85546875" style="21"/>
    <col min="12794" max="12803" width="10.7109375" style="21" bestFit="1" customWidth="1"/>
    <col min="12804" max="12804" width="4.7109375" style="21" bestFit="1" customWidth="1"/>
    <col min="12805" max="13049" width="8.85546875" style="21"/>
    <col min="13050" max="13059" width="10.7109375" style="21" bestFit="1" customWidth="1"/>
    <col min="13060" max="13060" width="4.7109375" style="21" bestFit="1" customWidth="1"/>
    <col min="13061" max="13305" width="8.85546875" style="21"/>
    <col min="13306" max="13315" width="10.7109375" style="21" bestFit="1" customWidth="1"/>
    <col min="13316" max="13316" width="4.7109375" style="21" bestFit="1" customWidth="1"/>
    <col min="13317" max="13561" width="8.85546875" style="21"/>
    <col min="13562" max="13571" width="10.7109375" style="21" bestFit="1" customWidth="1"/>
    <col min="13572" max="13572" width="4.7109375" style="21" bestFit="1" customWidth="1"/>
    <col min="13573" max="13817" width="8.85546875" style="21"/>
    <col min="13818" max="13827" width="10.7109375" style="21" bestFit="1" customWidth="1"/>
    <col min="13828" max="13828" width="4.7109375" style="21" bestFit="1" customWidth="1"/>
    <col min="13829" max="14073" width="8.85546875" style="21"/>
    <col min="14074" max="14083" width="10.7109375" style="21" bestFit="1" customWidth="1"/>
    <col min="14084" max="14084" width="4.7109375" style="21" bestFit="1" customWidth="1"/>
    <col min="14085" max="14329" width="8.85546875" style="21"/>
    <col min="14330" max="14339" width="10.7109375" style="21" bestFit="1" customWidth="1"/>
    <col min="14340" max="14340" width="4.7109375" style="21" bestFit="1" customWidth="1"/>
    <col min="14341" max="14585" width="8.85546875" style="21"/>
    <col min="14586" max="14595" width="10.7109375" style="21" bestFit="1" customWidth="1"/>
    <col min="14596" max="14596" width="4.7109375" style="21" bestFit="1" customWidth="1"/>
    <col min="14597" max="14841" width="8.85546875" style="21"/>
    <col min="14842" max="14851" width="10.7109375" style="21" bestFit="1" customWidth="1"/>
    <col min="14852" max="14852" width="4.7109375" style="21" bestFit="1" customWidth="1"/>
    <col min="14853" max="15097" width="8.85546875" style="21"/>
    <col min="15098" max="15107" width="10.7109375" style="21" bestFit="1" customWidth="1"/>
    <col min="15108" max="15108" width="4.7109375" style="21" bestFit="1" customWidth="1"/>
    <col min="15109" max="15353" width="8.85546875" style="21"/>
    <col min="15354" max="15363" width="10.7109375" style="21" bestFit="1" customWidth="1"/>
    <col min="15364" max="15364" width="4.7109375" style="21" bestFit="1" customWidth="1"/>
    <col min="15365" max="15609" width="8.85546875" style="21"/>
    <col min="15610" max="15619" width="10.7109375" style="21" bestFit="1" customWidth="1"/>
    <col min="15620" max="15620" width="4.7109375" style="21" bestFit="1" customWidth="1"/>
    <col min="15621" max="15865" width="8.85546875" style="21"/>
    <col min="15866" max="15875" width="10.7109375" style="21" bestFit="1" customWidth="1"/>
    <col min="15876" max="15876" width="4.7109375" style="21" bestFit="1" customWidth="1"/>
    <col min="15877" max="16121" width="8.85546875" style="21"/>
    <col min="16122" max="16131" width="10.7109375" style="21" bestFit="1" customWidth="1"/>
    <col min="16132" max="16132" width="4.7109375" style="21" bestFit="1" customWidth="1"/>
    <col min="16133" max="16384" width="8.85546875" style="21"/>
  </cols>
  <sheetData>
    <row r="1" spans="1:10" ht="15.75" customHeight="1">
      <c r="A1" s="1179" t="s">
        <v>367</v>
      </c>
      <c r="B1" s="1179"/>
      <c r="C1" s="1179"/>
      <c r="D1" s="1179"/>
      <c r="E1" s="1179"/>
      <c r="F1" s="1179"/>
      <c r="G1" s="1179"/>
    </row>
    <row r="2" spans="1:10" s="24" customFormat="1" ht="15" customHeight="1">
      <c r="A2" s="1237" t="s">
        <v>70</v>
      </c>
      <c r="B2" s="1239" t="s">
        <v>87</v>
      </c>
      <c r="C2" s="1277"/>
      <c r="D2" s="1240"/>
      <c r="E2" s="1271" t="s">
        <v>88</v>
      </c>
      <c r="F2" s="1272"/>
      <c r="G2" s="1273"/>
      <c r="H2" s="1271" t="s">
        <v>89</v>
      </c>
      <c r="I2" s="1272"/>
      <c r="J2" s="1273"/>
    </row>
    <row r="3" spans="1:10" s="24" customFormat="1" ht="46.5" customHeight="1">
      <c r="A3" s="1301"/>
      <c r="B3" s="275" t="s">
        <v>218</v>
      </c>
      <c r="C3" s="275" t="s">
        <v>219</v>
      </c>
      <c r="D3" s="275" t="s">
        <v>220</v>
      </c>
      <c r="E3" s="275" t="s">
        <v>218</v>
      </c>
      <c r="F3" s="275" t="s">
        <v>219</v>
      </c>
      <c r="G3" s="275" t="s">
        <v>220</v>
      </c>
      <c r="H3" s="275" t="s">
        <v>218</v>
      </c>
      <c r="I3" s="275" t="s">
        <v>219</v>
      </c>
      <c r="J3" s="275" t="s">
        <v>220</v>
      </c>
    </row>
    <row r="4" spans="1:10" s="25" customFormat="1" ht="15.75" customHeight="1">
      <c r="A4" s="236" t="s">
        <v>58</v>
      </c>
      <c r="B4" s="237">
        <v>793</v>
      </c>
      <c r="C4" s="237">
        <v>3134</v>
      </c>
      <c r="D4" s="276">
        <v>0.25303126999999997</v>
      </c>
      <c r="E4" s="237">
        <v>440</v>
      </c>
      <c r="F4" s="237">
        <v>1530</v>
      </c>
      <c r="G4" s="276">
        <v>0.28999999999999998</v>
      </c>
      <c r="H4" s="252">
        <v>6</v>
      </c>
      <c r="I4" s="252">
        <v>3</v>
      </c>
      <c r="J4" s="277">
        <v>2</v>
      </c>
    </row>
    <row r="5" spans="1:10" s="23" customFormat="1" ht="15.75" customHeight="1">
      <c r="A5" s="240" t="s">
        <v>61</v>
      </c>
      <c r="B5" s="222">
        <v>1567</v>
      </c>
      <c r="C5" s="222">
        <v>2230</v>
      </c>
      <c r="D5" s="1150">
        <v>0.70269058295964126</v>
      </c>
      <c r="E5" s="1166">
        <v>849</v>
      </c>
      <c r="F5" s="222">
        <v>1146</v>
      </c>
      <c r="G5" s="1167">
        <v>0.74</v>
      </c>
      <c r="H5" s="222">
        <v>0</v>
      </c>
      <c r="I5" s="222">
        <v>4</v>
      </c>
      <c r="J5" s="222">
        <v>0</v>
      </c>
    </row>
    <row r="6" spans="1:10" s="24" customFormat="1" ht="15.75" customHeight="1">
      <c r="A6" s="226" t="s">
        <v>60</v>
      </c>
      <c r="B6" s="208">
        <v>1291</v>
      </c>
      <c r="C6" s="208">
        <v>1932</v>
      </c>
      <c r="D6" s="278">
        <v>0.66821946200000004</v>
      </c>
      <c r="E6" s="243">
        <v>825</v>
      </c>
      <c r="F6" s="243">
        <v>1094</v>
      </c>
      <c r="G6" s="279">
        <v>0.75</v>
      </c>
      <c r="H6" s="209">
        <v>0</v>
      </c>
      <c r="I6" s="209">
        <v>0</v>
      </c>
      <c r="J6" s="280">
        <v>0</v>
      </c>
    </row>
    <row r="7" spans="1:10" s="24" customFormat="1" ht="15.75" customHeight="1">
      <c r="A7" s="226" t="s">
        <v>59</v>
      </c>
      <c r="B7" s="208">
        <v>1410</v>
      </c>
      <c r="C7" s="208">
        <v>1780</v>
      </c>
      <c r="D7" s="278">
        <v>0.79213483100000004</v>
      </c>
      <c r="E7" s="243">
        <v>914</v>
      </c>
      <c r="F7" s="243">
        <v>977</v>
      </c>
      <c r="G7" s="279">
        <v>0.94</v>
      </c>
      <c r="H7" s="209">
        <v>0</v>
      </c>
      <c r="I7" s="209">
        <v>0</v>
      </c>
      <c r="J7" s="280">
        <v>0</v>
      </c>
    </row>
    <row r="8" spans="1:10" s="24" customFormat="1" ht="15.75" customHeight="1">
      <c r="A8" s="226" t="s">
        <v>310</v>
      </c>
      <c r="B8" s="208">
        <v>2699</v>
      </c>
      <c r="C8" s="208">
        <v>585</v>
      </c>
      <c r="D8" s="278">
        <v>4.6136752139999997</v>
      </c>
      <c r="E8" s="243">
        <v>1753</v>
      </c>
      <c r="F8" s="243">
        <v>147</v>
      </c>
      <c r="G8" s="279">
        <v>11.93</v>
      </c>
      <c r="H8" s="209">
        <v>0</v>
      </c>
      <c r="I8" s="209">
        <v>0</v>
      </c>
      <c r="J8" s="280">
        <v>0</v>
      </c>
    </row>
    <row r="9" spans="1:10" s="24" customFormat="1" ht="15.75" customHeight="1">
      <c r="A9" s="226" t="s">
        <v>356</v>
      </c>
      <c r="B9" s="208">
        <v>2243</v>
      </c>
      <c r="C9" s="208">
        <v>1240</v>
      </c>
      <c r="D9" s="278">
        <v>1.8088709679999999</v>
      </c>
      <c r="E9" s="243">
        <v>1387</v>
      </c>
      <c r="F9" s="243">
        <v>530</v>
      </c>
      <c r="G9" s="279">
        <v>2.62</v>
      </c>
      <c r="H9" s="209">
        <v>0</v>
      </c>
      <c r="I9" s="209">
        <v>0</v>
      </c>
      <c r="J9" s="280">
        <v>0</v>
      </c>
    </row>
    <row r="10" spans="1:10" s="24" customFormat="1" ht="15.75" customHeight="1">
      <c r="A10" s="226" t="s">
        <v>384</v>
      </c>
      <c r="B10" s="208">
        <v>2322</v>
      </c>
      <c r="C10" s="208">
        <v>1232</v>
      </c>
      <c r="D10" s="278">
        <v>1.8847402600000001</v>
      </c>
      <c r="E10" s="243">
        <v>1457</v>
      </c>
      <c r="F10" s="243">
        <v>496</v>
      </c>
      <c r="G10" s="279">
        <v>2.94</v>
      </c>
      <c r="H10" s="209">
        <v>0</v>
      </c>
      <c r="I10" s="209">
        <v>0</v>
      </c>
      <c r="J10" s="280">
        <v>0</v>
      </c>
    </row>
    <row r="11" spans="1:10" s="24" customFormat="1" ht="15.75" customHeight="1">
      <c r="A11" s="207">
        <v>44075</v>
      </c>
      <c r="B11" s="208">
        <v>1727</v>
      </c>
      <c r="C11" s="208">
        <v>1821</v>
      </c>
      <c r="D11" s="278">
        <v>0.94838001100000002</v>
      </c>
      <c r="E11" s="243">
        <v>899</v>
      </c>
      <c r="F11" s="243">
        <v>1056</v>
      </c>
      <c r="G11" s="279">
        <v>0.85</v>
      </c>
      <c r="H11" s="209">
        <v>0</v>
      </c>
      <c r="I11" s="209">
        <v>0</v>
      </c>
      <c r="J11" s="280">
        <v>0</v>
      </c>
    </row>
    <row r="12" spans="1:10" s="24" customFormat="1" ht="15.75" customHeight="1">
      <c r="A12" s="207" t="s">
        <v>392</v>
      </c>
      <c r="B12" s="208">
        <v>1419</v>
      </c>
      <c r="C12" s="208">
        <v>2095</v>
      </c>
      <c r="D12" s="278">
        <v>0.677326969</v>
      </c>
      <c r="E12" s="243">
        <v>777</v>
      </c>
      <c r="F12" s="243">
        <v>1189</v>
      </c>
      <c r="G12" s="279">
        <v>0.65</v>
      </c>
      <c r="H12" s="209">
        <v>0</v>
      </c>
      <c r="I12" s="209">
        <v>0</v>
      </c>
      <c r="J12" s="280">
        <v>0</v>
      </c>
    </row>
    <row r="13" spans="1:10" s="24" customFormat="1" ht="15.75" customHeight="1">
      <c r="A13" s="207">
        <v>44136</v>
      </c>
      <c r="B13" s="208">
        <v>2055</v>
      </c>
      <c r="C13" s="208">
        <v>1437</v>
      </c>
      <c r="D13" s="281">
        <f t="shared" ref="D13" si="0">B13/C13</f>
        <v>1.4300626304801669</v>
      </c>
      <c r="E13" s="208">
        <v>1294</v>
      </c>
      <c r="F13" s="208">
        <v>674</v>
      </c>
      <c r="G13" s="278">
        <v>1.92</v>
      </c>
      <c r="H13" s="209">
        <v>0</v>
      </c>
      <c r="I13" s="209">
        <v>0</v>
      </c>
      <c r="J13" s="282">
        <v>0</v>
      </c>
    </row>
    <row r="14" spans="1:10" s="24" customFormat="1" ht="15.75" customHeight="1">
      <c r="A14" s="226" t="s">
        <v>497</v>
      </c>
      <c r="B14" s="208">
        <v>2899</v>
      </c>
      <c r="C14" s="208">
        <v>684</v>
      </c>
      <c r="D14" s="281">
        <f>B14/C14</f>
        <v>4.2383040935672511</v>
      </c>
      <c r="E14" s="208">
        <v>1752</v>
      </c>
      <c r="F14" s="208">
        <v>218</v>
      </c>
      <c r="G14" s="278">
        <v>8.0399999999999991</v>
      </c>
      <c r="H14" s="209">
        <v>0</v>
      </c>
      <c r="I14" s="209">
        <v>0</v>
      </c>
      <c r="J14" s="282">
        <v>0</v>
      </c>
    </row>
    <row r="15" spans="1:10" s="24" customFormat="1" ht="15.75" customHeight="1">
      <c r="A15" s="226" t="s">
        <v>1095</v>
      </c>
      <c r="B15" s="208">
        <v>2345</v>
      </c>
      <c r="C15" s="208">
        <v>818</v>
      </c>
      <c r="D15" s="281">
        <v>2.8667481659999998</v>
      </c>
      <c r="E15" s="208">
        <v>1504</v>
      </c>
      <c r="F15" s="208">
        <v>479</v>
      </c>
      <c r="G15" s="278">
        <v>3.14</v>
      </c>
      <c r="H15" s="209">
        <v>0</v>
      </c>
      <c r="I15" s="209">
        <v>0</v>
      </c>
      <c r="J15" s="282">
        <v>0</v>
      </c>
    </row>
    <row r="16" spans="1:10" s="24" customFormat="1" ht="15.75" customHeight="1">
      <c r="A16" s="226" t="s">
        <v>1184</v>
      </c>
      <c r="B16" s="208">
        <v>1701</v>
      </c>
      <c r="C16" s="208">
        <v>1447</v>
      </c>
      <c r="D16" s="281">
        <v>1.175535591</v>
      </c>
      <c r="E16" s="208">
        <v>963</v>
      </c>
      <c r="F16" s="208">
        <v>1042</v>
      </c>
      <c r="G16" s="278">
        <v>0.92</v>
      </c>
      <c r="H16" s="209">
        <v>0</v>
      </c>
      <c r="I16" s="209">
        <v>1</v>
      </c>
      <c r="J16" s="282">
        <v>0</v>
      </c>
    </row>
    <row r="17" spans="1:6" s="24" customFormat="1" ht="18" customHeight="1">
      <c r="A17" s="1300" t="s">
        <v>496</v>
      </c>
      <c r="B17" s="1300"/>
      <c r="C17" s="1300"/>
      <c r="D17" s="1300"/>
      <c r="E17" s="1300"/>
      <c r="F17" s="1300"/>
    </row>
    <row r="18" spans="1:6" s="24" customFormat="1" ht="18" customHeight="1">
      <c r="A18" s="1180" t="s">
        <v>1173</v>
      </c>
      <c r="B18" s="1180"/>
      <c r="C18" s="1180"/>
      <c r="D18" s="1180"/>
      <c r="E18" s="1180"/>
      <c r="F18" s="1180"/>
    </row>
    <row r="19" spans="1:6" s="24" customFormat="1" ht="27.6" customHeight="1">
      <c r="A19" s="1180" t="s">
        <v>82</v>
      </c>
      <c r="B19" s="1180"/>
      <c r="C19" s="1180"/>
      <c r="D19" s="1180"/>
      <c r="E19" s="1180"/>
      <c r="F19" s="1180"/>
    </row>
    <row r="20" spans="1:6" s="24" customFormat="1"/>
  </sheetData>
  <mergeCells count="8">
    <mergeCell ref="H2:J2"/>
    <mergeCell ref="A17:F17"/>
    <mergeCell ref="A18:F18"/>
    <mergeCell ref="A19:F19"/>
    <mergeCell ref="A1:G1"/>
    <mergeCell ref="A2:A3"/>
    <mergeCell ref="B2:D2"/>
    <mergeCell ref="E2:G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25"/>
  <sheetViews>
    <sheetView workbookViewId="0">
      <selection activeCell="J25" sqref="J25"/>
    </sheetView>
  </sheetViews>
  <sheetFormatPr defaultColWidth="8.85546875" defaultRowHeight="15"/>
  <cols>
    <col min="1" max="1" width="9.85546875" style="21" bestFit="1" customWidth="1"/>
    <col min="2" max="10" width="13.42578125" style="21" bestFit="1" customWidth="1"/>
    <col min="11" max="11" width="4.7109375" style="21" bestFit="1" customWidth="1"/>
    <col min="12" max="249" width="8.85546875" style="21"/>
    <col min="250" max="250" width="9.85546875" style="21" bestFit="1" customWidth="1"/>
    <col min="251" max="259" width="13.42578125" style="21" bestFit="1" customWidth="1"/>
    <col min="260" max="260" width="4.7109375" style="21" bestFit="1" customWidth="1"/>
    <col min="261" max="505" width="8.85546875" style="21"/>
    <col min="506" max="506" width="9.85546875" style="21" bestFit="1" customWidth="1"/>
    <col min="507" max="515" width="13.42578125" style="21" bestFit="1" customWidth="1"/>
    <col min="516" max="516" width="4.7109375" style="21" bestFit="1" customWidth="1"/>
    <col min="517" max="761" width="8.85546875" style="21"/>
    <col min="762" max="762" width="9.85546875" style="21" bestFit="1" customWidth="1"/>
    <col min="763" max="771" width="13.42578125" style="21" bestFit="1" customWidth="1"/>
    <col min="772" max="772" width="4.7109375" style="21" bestFit="1" customWidth="1"/>
    <col min="773" max="1017" width="8.85546875" style="21"/>
    <col min="1018" max="1018" width="9.85546875" style="21" bestFit="1" customWidth="1"/>
    <col min="1019" max="1027" width="13.42578125" style="21" bestFit="1" customWidth="1"/>
    <col min="1028" max="1028" width="4.7109375" style="21" bestFit="1" customWidth="1"/>
    <col min="1029" max="1273" width="8.85546875" style="21"/>
    <col min="1274" max="1274" width="9.85546875" style="21" bestFit="1" customWidth="1"/>
    <col min="1275" max="1283" width="13.42578125" style="21" bestFit="1" customWidth="1"/>
    <col min="1284" max="1284" width="4.7109375" style="21" bestFit="1" customWidth="1"/>
    <col min="1285" max="1529" width="8.85546875" style="21"/>
    <col min="1530" max="1530" width="9.85546875" style="21" bestFit="1" customWidth="1"/>
    <col min="1531" max="1539" width="13.42578125" style="21" bestFit="1" customWidth="1"/>
    <col min="1540" max="1540" width="4.7109375" style="21" bestFit="1" customWidth="1"/>
    <col min="1541" max="1785" width="8.85546875" style="21"/>
    <col min="1786" max="1786" width="9.85546875" style="21" bestFit="1" customWidth="1"/>
    <col min="1787" max="1795" width="13.42578125" style="21" bestFit="1" customWidth="1"/>
    <col min="1796" max="1796" width="4.7109375" style="21" bestFit="1" customWidth="1"/>
    <col min="1797" max="2041" width="8.85546875" style="21"/>
    <col min="2042" max="2042" width="9.85546875" style="21" bestFit="1" customWidth="1"/>
    <col min="2043" max="2051" width="13.42578125" style="21" bestFit="1" customWidth="1"/>
    <col min="2052" max="2052" width="4.7109375" style="21" bestFit="1" customWidth="1"/>
    <col min="2053" max="2297" width="8.85546875" style="21"/>
    <col min="2298" max="2298" width="9.85546875" style="21" bestFit="1" customWidth="1"/>
    <col min="2299" max="2307" width="13.42578125" style="21" bestFit="1" customWidth="1"/>
    <col min="2308" max="2308" width="4.7109375" style="21" bestFit="1" customWidth="1"/>
    <col min="2309" max="2553" width="8.85546875" style="21"/>
    <col min="2554" max="2554" width="9.85546875" style="21" bestFit="1" customWidth="1"/>
    <col min="2555" max="2563" width="13.42578125" style="21" bestFit="1" customWidth="1"/>
    <col min="2564" max="2564" width="4.7109375" style="21" bestFit="1" customWidth="1"/>
    <col min="2565" max="2809" width="8.85546875" style="21"/>
    <col min="2810" max="2810" width="9.85546875" style="21" bestFit="1" customWidth="1"/>
    <col min="2811" max="2819" width="13.42578125" style="21" bestFit="1" customWidth="1"/>
    <col min="2820" max="2820" width="4.7109375" style="21" bestFit="1" customWidth="1"/>
    <col min="2821" max="3065" width="8.85546875" style="21"/>
    <col min="3066" max="3066" width="9.85546875" style="21" bestFit="1" customWidth="1"/>
    <col min="3067" max="3075" width="13.42578125" style="21" bestFit="1" customWidth="1"/>
    <col min="3076" max="3076" width="4.7109375" style="21" bestFit="1" customWidth="1"/>
    <col min="3077" max="3321" width="8.85546875" style="21"/>
    <col min="3322" max="3322" width="9.85546875" style="21" bestFit="1" customWidth="1"/>
    <col min="3323" max="3331" width="13.42578125" style="21" bestFit="1" customWidth="1"/>
    <col min="3332" max="3332" width="4.7109375" style="21" bestFit="1" customWidth="1"/>
    <col min="3333" max="3577" width="8.85546875" style="21"/>
    <col min="3578" max="3578" width="9.85546875" style="21" bestFit="1" customWidth="1"/>
    <col min="3579" max="3587" width="13.42578125" style="21" bestFit="1" customWidth="1"/>
    <col min="3588" max="3588" width="4.7109375" style="21" bestFit="1" customWidth="1"/>
    <col min="3589" max="3833" width="8.85546875" style="21"/>
    <col min="3834" max="3834" width="9.85546875" style="21" bestFit="1" customWidth="1"/>
    <col min="3835" max="3843" width="13.42578125" style="21" bestFit="1" customWidth="1"/>
    <col min="3844" max="3844" width="4.7109375" style="21" bestFit="1" customWidth="1"/>
    <col min="3845" max="4089" width="8.85546875" style="21"/>
    <col min="4090" max="4090" width="9.85546875" style="21" bestFit="1" customWidth="1"/>
    <col min="4091" max="4099" width="13.42578125" style="21" bestFit="1" customWidth="1"/>
    <col min="4100" max="4100" width="4.7109375" style="21" bestFit="1" customWidth="1"/>
    <col min="4101" max="4345" width="8.85546875" style="21"/>
    <col min="4346" max="4346" width="9.85546875" style="21" bestFit="1" customWidth="1"/>
    <col min="4347" max="4355" width="13.42578125" style="21" bestFit="1" customWidth="1"/>
    <col min="4356" max="4356" width="4.7109375" style="21" bestFit="1" customWidth="1"/>
    <col min="4357" max="4601" width="8.85546875" style="21"/>
    <col min="4602" max="4602" width="9.85546875" style="21" bestFit="1" customWidth="1"/>
    <col min="4603" max="4611" width="13.42578125" style="21" bestFit="1" customWidth="1"/>
    <col min="4612" max="4612" width="4.7109375" style="21" bestFit="1" customWidth="1"/>
    <col min="4613" max="4857" width="8.85546875" style="21"/>
    <col min="4858" max="4858" width="9.85546875" style="21" bestFit="1" customWidth="1"/>
    <col min="4859" max="4867" width="13.42578125" style="21" bestFit="1" customWidth="1"/>
    <col min="4868" max="4868" width="4.7109375" style="21" bestFit="1" customWidth="1"/>
    <col min="4869" max="5113" width="8.85546875" style="21"/>
    <col min="5114" max="5114" width="9.85546875" style="21" bestFit="1" customWidth="1"/>
    <col min="5115" max="5123" width="13.42578125" style="21" bestFit="1" customWidth="1"/>
    <col min="5124" max="5124" width="4.7109375" style="21" bestFit="1" customWidth="1"/>
    <col min="5125" max="5369" width="8.85546875" style="21"/>
    <col min="5370" max="5370" width="9.85546875" style="21" bestFit="1" customWidth="1"/>
    <col min="5371" max="5379" width="13.42578125" style="21" bestFit="1" customWidth="1"/>
    <col min="5380" max="5380" width="4.7109375" style="21" bestFit="1" customWidth="1"/>
    <col min="5381" max="5625" width="8.85546875" style="21"/>
    <col min="5626" max="5626" width="9.85546875" style="21" bestFit="1" customWidth="1"/>
    <col min="5627" max="5635" width="13.42578125" style="21" bestFit="1" customWidth="1"/>
    <col min="5636" max="5636" width="4.7109375" style="21" bestFit="1" customWidth="1"/>
    <col min="5637" max="5881" width="8.85546875" style="21"/>
    <col min="5882" max="5882" width="9.85546875" style="21" bestFit="1" customWidth="1"/>
    <col min="5883" max="5891" width="13.42578125" style="21" bestFit="1" customWidth="1"/>
    <col min="5892" max="5892" width="4.7109375" style="21" bestFit="1" customWidth="1"/>
    <col min="5893" max="6137" width="8.85546875" style="21"/>
    <col min="6138" max="6138" width="9.85546875" style="21" bestFit="1" customWidth="1"/>
    <col min="6139" max="6147" width="13.42578125" style="21" bestFit="1" customWidth="1"/>
    <col min="6148" max="6148" width="4.7109375" style="21" bestFit="1" customWidth="1"/>
    <col min="6149" max="6393" width="8.85546875" style="21"/>
    <col min="6394" max="6394" width="9.85546875" style="21" bestFit="1" customWidth="1"/>
    <col min="6395" max="6403" width="13.42578125" style="21" bestFit="1" customWidth="1"/>
    <col min="6404" max="6404" width="4.7109375" style="21" bestFit="1" customWidth="1"/>
    <col min="6405" max="6649" width="8.85546875" style="21"/>
    <col min="6650" max="6650" width="9.85546875" style="21" bestFit="1" customWidth="1"/>
    <col min="6651" max="6659" width="13.42578125" style="21" bestFit="1" customWidth="1"/>
    <col min="6660" max="6660" width="4.7109375" style="21" bestFit="1" customWidth="1"/>
    <col min="6661" max="6905" width="8.85546875" style="21"/>
    <col min="6906" max="6906" width="9.85546875" style="21" bestFit="1" customWidth="1"/>
    <col min="6907" max="6915" width="13.42578125" style="21" bestFit="1" customWidth="1"/>
    <col min="6916" max="6916" width="4.7109375" style="21" bestFit="1" customWidth="1"/>
    <col min="6917" max="7161" width="8.85546875" style="21"/>
    <col min="7162" max="7162" width="9.85546875" style="21" bestFit="1" customWidth="1"/>
    <col min="7163" max="7171" width="13.42578125" style="21" bestFit="1" customWidth="1"/>
    <col min="7172" max="7172" width="4.7109375" style="21" bestFit="1" customWidth="1"/>
    <col min="7173" max="7417" width="8.85546875" style="21"/>
    <col min="7418" max="7418" width="9.85546875" style="21" bestFit="1" customWidth="1"/>
    <col min="7419" max="7427" width="13.42578125" style="21" bestFit="1" customWidth="1"/>
    <col min="7428" max="7428" width="4.7109375" style="21" bestFit="1" customWidth="1"/>
    <col min="7429" max="7673" width="8.85546875" style="21"/>
    <col min="7674" max="7674" width="9.85546875" style="21" bestFit="1" customWidth="1"/>
    <col min="7675" max="7683" width="13.42578125" style="21" bestFit="1" customWidth="1"/>
    <col min="7684" max="7684" width="4.7109375" style="21" bestFit="1" customWidth="1"/>
    <col min="7685" max="7929" width="8.85546875" style="21"/>
    <col min="7930" max="7930" width="9.85546875" style="21" bestFit="1" customWidth="1"/>
    <col min="7931" max="7939" width="13.42578125" style="21" bestFit="1" customWidth="1"/>
    <col min="7940" max="7940" width="4.7109375" style="21" bestFit="1" customWidth="1"/>
    <col min="7941" max="8185" width="8.85546875" style="21"/>
    <col min="8186" max="8186" width="9.85546875" style="21" bestFit="1" customWidth="1"/>
    <col min="8187" max="8195" width="13.42578125" style="21" bestFit="1" customWidth="1"/>
    <col min="8196" max="8196" width="4.7109375" style="21" bestFit="1" customWidth="1"/>
    <col min="8197" max="8441" width="8.85546875" style="21"/>
    <col min="8442" max="8442" width="9.85546875" style="21" bestFit="1" customWidth="1"/>
    <col min="8443" max="8451" width="13.42578125" style="21" bestFit="1" customWidth="1"/>
    <col min="8452" max="8452" width="4.7109375" style="21" bestFit="1" customWidth="1"/>
    <col min="8453" max="8697" width="8.85546875" style="21"/>
    <col min="8698" max="8698" width="9.85546875" style="21" bestFit="1" customWidth="1"/>
    <col min="8699" max="8707" width="13.42578125" style="21" bestFit="1" customWidth="1"/>
    <col min="8708" max="8708" width="4.7109375" style="21" bestFit="1" customWidth="1"/>
    <col min="8709" max="8953" width="8.85546875" style="21"/>
    <col min="8954" max="8954" width="9.85546875" style="21" bestFit="1" customWidth="1"/>
    <col min="8955" max="8963" width="13.42578125" style="21" bestFit="1" customWidth="1"/>
    <col min="8964" max="8964" width="4.7109375" style="21" bestFit="1" customWidth="1"/>
    <col min="8965" max="9209" width="8.85546875" style="21"/>
    <col min="9210" max="9210" width="9.85546875" style="21" bestFit="1" customWidth="1"/>
    <col min="9211" max="9219" width="13.42578125" style="21" bestFit="1" customWidth="1"/>
    <col min="9220" max="9220" width="4.7109375" style="21" bestFit="1" customWidth="1"/>
    <col min="9221" max="9465" width="8.85546875" style="21"/>
    <col min="9466" max="9466" width="9.85546875" style="21" bestFit="1" customWidth="1"/>
    <col min="9467" max="9475" width="13.42578125" style="21" bestFit="1" customWidth="1"/>
    <col min="9476" max="9476" width="4.7109375" style="21" bestFit="1" customWidth="1"/>
    <col min="9477" max="9721" width="8.85546875" style="21"/>
    <col min="9722" max="9722" width="9.85546875" style="21" bestFit="1" customWidth="1"/>
    <col min="9723" max="9731" width="13.42578125" style="21" bestFit="1" customWidth="1"/>
    <col min="9732" max="9732" width="4.7109375" style="21" bestFit="1" customWidth="1"/>
    <col min="9733" max="9977" width="8.85546875" style="21"/>
    <col min="9978" max="9978" width="9.85546875" style="21" bestFit="1" customWidth="1"/>
    <col min="9979" max="9987" width="13.42578125" style="21" bestFit="1" customWidth="1"/>
    <col min="9988" max="9988" width="4.7109375" style="21" bestFit="1" customWidth="1"/>
    <col min="9989" max="10233" width="8.85546875" style="21"/>
    <col min="10234" max="10234" width="9.85546875" style="21" bestFit="1" customWidth="1"/>
    <col min="10235" max="10243" width="13.42578125" style="21" bestFit="1" customWidth="1"/>
    <col min="10244" max="10244" width="4.7109375" style="21" bestFit="1" customWidth="1"/>
    <col min="10245" max="10489" width="8.85546875" style="21"/>
    <col min="10490" max="10490" width="9.85546875" style="21" bestFit="1" customWidth="1"/>
    <col min="10491" max="10499" width="13.42578125" style="21" bestFit="1" customWidth="1"/>
    <col min="10500" max="10500" width="4.7109375" style="21" bestFit="1" customWidth="1"/>
    <col min="10501" max="10745" width="8.85546875" style="21"/>
    <col min="10746" max="10746" width="9.85546875" style="21" bestFit="1" customWidth="1"/>
    <col min="10747" max="10755" width="13.42578125" style="21" bestFit="1" customWidth="1"/>
    <col min="10756" max="10756" width="4.7109375" style="21" bestFit="1" customWidth="1"/>
    <col min="10757" max="11001" width="8.85546875" style="21"/>
    <col min="11002" max="11002" width="9.85546875" style="21" bestFit="1" customWidth="1"/>
    <col min="11003" max="11011" width="13.42578125" style="21" bestFit="1" customWidth="1"/>
    <col min="11012" max="11012" width="4.7109375" style="21" bestFit="1" customWidth="1"/>
    <col min="11013" max="11257" width="8.85546875" style="21"/>
    <col min="11258" max="11258" width="9.85546875" style="21" bestFit="1" customWidth="1"/>
    <col min="11259" max="11267" width="13.42578125" style="21" bestFit="1" customWidth="1"/>
    <col min="11268" max="11268" width="4.7109375" style="21" bestFit="1" customWidth="1"/>
    <col min="11269" max="11513" width="8.85546875" style="21"/>
    <col min="11514" max="11514" width="9.85546875" style="21" bestFit="1" customWidth="1"/>
    <col min="11515" max="11523" width="13.42578125" style="21" bestFit="1" customWidth="1"/>
    <col min="11524" max="11524" width="4.7109375" style="21" bestFit="1" customWidth="1"/>
    <col min="11525" max="11769" width="8.85546875" style="21"/>
    <col min="11770" max="11770" width="9.85546875" style="21" bestFit="1" customWidth="1"/>
    <col min="11771" max="11779" width="13.42578125" style="21" bestFit="1" customWidth="1"/>
    <col min="11780" max="11780" width="4.7109375" style="21" bestFit="1" customWidth="1"/>
    <col min="11781" max="12025" width="8.85546875" style="21"/>
    <col min="12026" max="12026" width="9.85546875" style="21" bestFit="1" customWidth="1"/>
    <col min="12027" max="12035" width="13.42578125" style="21" bestFit="1" customWidth="1"/>
    <col min="12036" max="12036" width="4.7109375" style="21" bestFit="1" customWidth="1"/>
    <col min="12037" max="12281" width="8.85546875" style="21"/>
    <col min="12282" max="12282" width="9.85546875" style="21" bestFit="1" customWidth="1"/>
    <col min="12283" max="12291" width="13.42578125" style="21" bestFit="1" customWidth="1"/>
    <col min="12292" max="12292" width="4.7109375" style="21" bestFit="1" customWidth="1"/>
    <col min="12293" max="12537" width="8.85546875" style="21"/>
    <col min="12538" max="12538" width="9.85546875" style="21" bestFit="1" customWidth="1"/>
    <col min="12539" max="12547" width="13.42578125" style="21" bestFit="1" customWidth="1"/>
    <col min="12548" max="12548" width="4.7109375" style="21" bestFit="1" customWidth="1"/>
    <col min="12549" max="12793" width="8.85546875" style="21"/>
    <col min="12794" max="12794" width="9.85546875" style="21" bestFit="1" customWidth="1"/>
    <col min="12795" max="12803" width="13.42578125" style="21" bestFit="1" customWidth="1"/>
    <col min="12804" max="12804" width="4.7109375" style="21" bestFit="1" customWidth="1"/>
    <col min="12805" max="13049" width="8.85546875" style="21"/>
    <col min="13050" max="13050" width="9.85546875" style="21" bestFit="1" customWidth="1"/>
    <col min="13051" max="13059" width="13.42578125" style="21" bestFit="1" customWidth="1"/>
    <col min="13060" max="13060" width="4.7109375" style="21" bestFit="1" customWidth="1"/>
    <col min="13061" max="13305" width="8.85546875" style="21"/>
    <col min="13306" max="13306" width="9.85546875" style="21" bestFit="1" customWidth="1"/>
    <col min="13307" max="13315" width="13.42578125" style="21" bestFit="1" customWidth="1"/>
    <col min="13316" max="13316" width="4.7109375" style="21" bestFit="1" customWidth="1"/>
    <col min="13317" max="13561" width="8.85546875" style="21"/>
    <col min="13562" max="13562" width="9.85546875" style="21" bestFit="1" customWidth="1"/>
    <col min="13563" max="13571" width="13.42578125" style="21" bestFit="1" customWidth="1"/>
    <col min="13572" max="13572" width="4.7109375" style="21" bestFit="1" customWidth="1"/>
    <col min="13573" max="13817" width="8.85546875" style="21"/>
    <col min="13818" max="13818" width="9.85546875" style="21" bestFit="1" customWidth="1"/>
    <col min="13819" max="13827" width="13.42578125" style="21" bestFit="1" customWidth="1"/>
    <col min="13828" max="13828" width="4.7109375" style="21" bestFit="1" customWidth="1"/>
    <col min="13829" max="14073" width="8.85546875" style="21"/>
    <col min="14074" max="14074" width="9.85546875" style="21" bestFit="1" customWidth="1"/>
    <col min="14075" max="14083" width="13.42578125" style="21" bestFit="1" customWidth="1"/>
    <col min="14084" max="14084" width="4.7109375" style="21" bestFit="1" customWidth="1"/>
    <col min="14085" max="14329" width="8.85546875" style="21"/>
    <col min="14330" max="14330" width="9.85546875" style="21" bestFit="1" customWidth="1"/>
    <col min="14331" max="14339" width="13.42578125" style="21" bestFit="1" customWidth="1"/>
    <col min="14340" max="14340" width="4.7109375" style="21" bestFit="1" customWidth="1"/>
    <col min="14341" max="14585" width="8.85546875" style="21"/>
    <col min="14586" max="14586" width="9.85546875" style="21" bestFit="1" customWidth="1"/>
    <col min="14587" max="14595" width="13.42578125" style="21" bestFit="1" customWidth="1"/>
    <col min="14596" max="14596" width="4.7109375" style="21" bestFit="1" customWidth="1"/>
    <col min="14597" max="14841" width="8.85546875" style="21"/>
    <col min="14842" max="14842" width="9.85546875" style="21" bestFit="1" customWidth="1"/>
    <col min="14843" max="14851" width="13.42578125" style="21" bestFit="1" customWidth="1"/>
    <col min="14852" max="14852" width="4.7109375" style="21" bestFit="1" customWidth="1"/>
    <col min="14853" max="15097" width="8.85546875" style="21"/>
    <col min="15098" max="15098" width="9.85546875" style="21" bestFit="1" customWidth="1"/>
    <col min="15099" max="15107" width="13.42578125" style="21" bestFit="1" customWidth="1"/>
    <col min="15108" max="15108" width="4.7109375" style="21" bestFit="1" customWidth="1"/>
    <col min="15109" max="15353" width="8.85546875" style="21"/>
    <col min="15354" max="15354" width="9.85546875" style="21" bestFit="1" customWidth="1"/>
    <col min="15355" max="15363" width="13.42578125" style="21" bestFit="1" customWidth="1"/>
    <col min="15364" max="15364" width="4.7109375" style="21" bestFit="1" customWidth="1"/>
    <col min="15365" max="15609" width="8.85546875" style="21"/>
    <col min="15610" max="15610" width="9.85546875" style="21" bestFit="1" customWidth="1"/>
    <col min="15611" max="15619" width="13.42578125" style="21" bestFit="1" customWidth="1"/>
    <col min="15620" max="15620" width="4.7109375" style="21" bestFit="1" customWidth="1"/>
    <col min="15621" max="15865" width="8.85546875" style="21"/>
    <col min="15866" max="15866" width="9.85546875" style="21" bestFit="1" customWidth="1"/>
    <col min="15867" max="15875" width="13.42578125" style="21" bestFit="1" customWidth="1"/>
    <col min="15876" max="15876" width="4.7109375" style="21" bestFit="1" customWidth="1"/>
    <col min="15877" max="16121" width="8.85546875" style="21"/>
    <col min="16122" max="16122" width="9.85546875" style="21" bestFit="1" customWidth="1"/>
    <col min="16123" max="16131" width="13.42578125" style="21" bestFit="1" customWidth="1"/>
    <col min="16132" max="16132" width="4.7109375" style="21" bestFit="1" customWidth="1"/>
    <col min="16133" max="16384" width="8.85546875" style="21"/>
  </cols>
  <sheetData>
    <row r="1" spans="1:13" ht="13.5" customHeight="1">
      <c r="A1" s="1275" t="s">
        <v>329</v>
      </c>
      <c r="B1" s="1275"/>
      <c r="C1" s="1275"/>
      <c r="D1" s="1275"/>
      <c r="E1" s="1275"/>
      <c r="F1" s="1275"/>
      <c r="G1" s="1275"/>
    </row>
    <row r="2" spans="1:13" s="24" customFormat="1" ht="27.75" customHeight="1">
      <c r="A2" s="1303" t="s">
        <v>221</v>
      </c>
      <c r="B2" s="1302" t="s">
        <v>87</v>
      </c>
      <c r="C2" s="1302"/>
      <c r="D2" s="1302"/>
      <c r="E2" s="1304" t="s">
        <v>88</v>
      </c>
      <c r="F2" s="1304"/>
      <c r="G2" s="1304"/>
      <c r="H2" s="1302" t="s">
        <v>89</v>
      </c>
      <c r="I2" s="1302"/>
      <c r="J2" s="1302"/>
    </row>
    <row r="3" spans="1:13" s="22" customFormat="1" ht="45">
      <c r="A3" s="1303"/>
      <c r="B3" s="307" t="s">
        <v>222</v>
      </c>
      <c r="C3" s="307" t="s">
        <v>123</v>
      </c>
      <c r="D3" s="307" t="s">
        <v>376</v>
      </c>
      <c r="E3" s="307" t="s">
        <v>222</v>
      </c>
      <c r="F3" s="307" t="s">
        <v>123</v>
      </c>
      <c r="G3" s="307" t="s">
        <v>376</v>
      </c>
      <c r="H3" s="307" t="s">
        <v>222</v>
      </c>
      <c r="I3" s="307" t="s">
        <v>123</v>
      </c>
      <c r="J3" s="307" t="s">
        <v>376</v>
      </c>
    </row>
    <row r="4" spans="1:13" s="24" customFormat="1" ht="18" customHeight="1">
      <c r="A4" s="308" t="s">
        <v>58</v>
      </c>
      <c r="B4" s="309">
        <v>5377</v>
      </c>
      <c r="C4" s="309">
        <v>4089</v>
      </c>
      <c r="D4" s="310">
        <v>76.046122373070489</v>
      </c>
      <c r="E4" s="311">
        <v>1949</v>
      </c>
      <c r="F4" s="311">
        <v>1989</v>
      </c>
      <c r="G4" s="312">
        <v>102.05233453052847</v>
      </c>
      <c r="H4" s="313">
        <v>296</v>
      </c>
      <c r="I4" s="313">
        <v>15</v>
      </c>
      <c r="J4" s="314">
        <v>5.0675675675675675</v>
      </c>
    </row>
    <row r="5" spans="1:13" s="22" customFormat="1" ht="18" customHeight="1">
      <c r="A5" s="1145" t="s">
        <v>61</v>
      </c>
      <c r="B5" s="311">
        <v>5462</v>
      </c>
      <c r="C5" s="311">
        <v>3909</v>
      </c>
      <c r="D5" s="1151">
        <v>71.567191504943239</v>
      </c>
      <c r="E5" s="311">
        <v>1957</v>
      </c>
      <c r="F5" s="311">
        <v>2018</v>
      </c>
      <c r="G5" s="312">
        <v>103.11701584057231</v>
      </c>
      <c r="H5" s="1168">
        <v>298</v>
      </c>
      <c r="I5" s="1168">
        <v>7</v>
      </c>
      <c r="J5" s="1169">
        <v>2.348993288590604</v>
      </c>
      <c r="M5" s="1170"/>
    </row>
    <row r="6" spans="1:13" s="24" customFormat="1" ht="18" customHeight="1">
      <c r="A6" s="315" t="s">
        <v>60</v>
      </c>
      <c r="B6" s="316">
        <v>5380</v>
      </c>
      <c r="C6" s="316">
        <v>3352</v>
      </c>
      <c r="D6" s="317">
        <v>62.304832713754642</v>
      </c>
      <c r="E6" s="318">
        <v>1949</v>
      </c>
      <c r="F6" s="318">
        <v>1855</v>
      </c>
      <c r="G6" s="319">
        <f t="shared" ref="G6:G14" si="0">(F6/E6)*100</f>
        <v>95.177013853258089</v>
      </c>
      <c r="H6" s="320">
        <v>296</v>
      </c>
      <c r="I6" s="320">
        <v>3</v>
      </c>
      <c r="J6" s="321">
        <f t="shared" ref="J6:J14" si="1">(I6/H6)*100</f>
        <v>1.0135135135135136</v>
      </c>
      <c r="M6" s="325"/>
    </row>
    <row r="7" spans="1:13" s="24" customFormat="1" ht="18" customHeight="1">
      <c r="A7" s="315" t="s">
        <v>59</v>
      </c>
      <c r="B7" s="316">
        <v>5369</v>
      </c>
      <c r="C7" s="316">
        <v>3303</v>
      </c>
      <c r="D7" s="317">
        <v>61.519836096107284</v>
      </c>
      <c r="E7" s="318">
        <v>1947</v>
      </c>
      <c r="F7" s="318">
        <v>1854</v>
      </c>
      <c r="G7" s="319">
        <f t="shared" si="0"/>
        <v>95.223420647149453</v>
      </c>
      <c r="H7" s="320">
        <v>295</v>
      </c>
      <c r="I7" s="320">
        <v>0</v>
      </c>
      <c r="J7" s="324">
        <f t="shared" si="1"/>
        <v>0</v>
      </c>
      <c r="M7" s="325"/>
    </row>
    <row r="8" spans="1:13" s="24" customFormat="1" ht="18" customHeight="1">
      <c r="A8" s="315" t="s">
        <v>310</v>
      </c>
      <c r="B8" s="316">
        <v>5377</v>
      </c>
      <c r="C8" s="316">
        <v>3481</v>
      </c>
      <c r="D8" s="317">
        <v>64.738701878370847</v>
      </c>
      <c r="E8" s="318">
        <v>1944</v>
      </c>
      <c r="F8" s="318">
        <v>1872</v>
      </c>
      <c r="G8" s="319">
        <f t="shared" si="0"/>
        <v>96.296296296296291</v>
      </c>
      <c r="H8" s="320">
        <v>295</v>
      </c>
      <c r="I8" s="320">
        <v>3</v>
      </c>
      <c r="J8" s="321">
        <f t="shared" si="1"/>
        <v>1.0169491525423728</v>
      </c>
      <c r="M8" s="325"/>
    </row>
    <row r="9" spans="1:13" s="24" customFormat="1" ht="18" customHeight="1">
      <c r="A9" s="315" t="s">
        <v>356</v>
      </c>
      <c r="B9" s="316">
        <v>5399</v>
      </c>
      <c r="C9" s="316">
        <v>3624</v>
      </c>
      <c r="D9" s="319">
        <v>67.123541396554913</v>
      </c>
      <c r="E9" s="318">
        <v>1941</v>
      </c>
      <c r="F9" s="318">
        <v>1886</v>
      </c>
      <c r="G9" s="319">
        <f t="shared" si="0"/>
        <v>97.166409067490989</v>
      </c>
      <c r="H9" s="320">
        <v>296</v>
      </c>
      <c r="I9" s="320">
        <v>1</v>
      </c>
      <c r="J9" s="321">
        <f t="shared" si="1"/>
        <v>0.33783783783783783</v>
      </c>
      <c r="M9" s="325"/>
    </row>
    <row r="10" spans="1:13" s="24" customFormat="1" ht="18" customHeight="1">
      <c r="A10" s="315" t="s">
        <v>384</v>
      </c>
      <c r="B10" s="316">
        <v>5413</v>
      </c>
      <c r="C10" s="316">
        <v>3605</v>
      </c>
      <c r="D10" s="317">
        <v>66.598928505449834</v>
      </c>
      <c r="E10" s="318">
        <v>1943</v>
      </c>
      <c r="F10" s="318">
        <v>1886</v>
      </c>
      <c r="G10" s="319">
        <f t="shared" si="0"/>
        <v>97.066392177045799</v>
      </c>
      <c r="H10" s="320">
        <v>297</v>
      </c>
      <c r="I10" s="320">
        <v>2</v>
      </c>
      <c r="J10" s="321">
        <f t="shared" si="1"/>
        <v>0.67340067340067333</v>
      </c>
      <c r="M10" s="325"/>
    </row>
    <row r="11" spans="1:13" s="24" customFormat="1" ht="18" customHeight="1">
      <c r="A11" s="322">
        <v>44075</v>
      </c>
      <c r="B11" s="316">
        <v>5428</v>
      </c>
      <c r="C11" s="316">
        <v>3587</v>
      </c>
      <c r="D11" s="317">
        <v>66.083271923360357</v>
      </c>
      <c r="E11" s="318">
        <v>1946</v>
      </c>
      <c r="F11" s="318">
        <v>1892</v>
      </c>
      <c r="G11" s="319">
        <f t="shared" si="0"/>
        <v>97.225077081192197</v>
      </c>
      <c r="H11" s="320">
        <v>297</v>
      </c>
      <c r="I11" s="320">
        <v>4</v>
      </c>
      <c r="J11" s="321">
        <f t="shared" si="1"/>
        <v>1.3468013468013467</v>
      </c>
      <c r="M11" s="325"/>
    </row>
    <row r="12" spans="1:13" s="24" customFormat="1" ht="18" customHeight="1">
      <c r="A12" s="322" t="s">
        <v>392</v>
      </c>
      <c r="B12" s="318">
        <v>5437</v>
      </c>
      <c r="C12" s="318">
        <v>3543</v>
      </c>
      <c r="D12" s="319">
        <v>65.16461283796211</v>
      </c>
      <c r="E12" s="318">
        <v>1959</v>
      </c>
      <c r="F12" s="318">
        <v>1908</v>
      </c>
      <c r="G12" s="319">
        <f t="shared" si="0"/>
        <v>97.396630934150068</v>
      </c>
      <c r="H12" s="320">
        <v>297</v>
      </c>
      <c r="I12" s="320">
        <v>1</v>
      </c>
      <c r="J12" s="321">
        <f t="shared" si="1"/>
        <v>0.33670033670033667</v>
      </c>
      <c r="M12" s="325"/>
    </row>
    <row r="13" spans="1:13" s="24" customFormat="1" ht="18" customHeight="1">
      <c r="A13" s="322">
        <v>44136</v>
      </c>
      <c r="B13" s="318">
        <v>5442</v>
      </c>
      <c r="C13" s="318">
        <v>3551</v>
      </c>
      <c r="D13" s="319">
        <v>65.251745681734647</v>
      </c>
      <c r="E13" s="318">
        <v>1959</v>
      </c>
      <c r="F13" s="318">
        <v>1899</v>
      </c>
      <c r="G13" s="319">
        <f t="shared" si="0"/>
        <v>96.937212863705966</v>
      </c>
      <c r="H13" s="320">
        <v>298</v>
      </c>
      <c r="I13" s="320">
        <v>2</v>
      </c>
      <c r="J13" s="321">
        <f t="shared" si="1"/>
        <v>0.67114093959731547</v>
      </c>
      <c r="M13" s="326"/>
    </row>
    <row r="14" spans="1:13" s="24" customFormat="1" ht="18" customHeight="1">
      <c r="A14" s="322">
        <v>44166</v>
      </c>
      <c r="B14" s="318">
        <v>5454</v>
      </c>
      <c r="C14" s="318">
        <v>3662</v>
      </c>
      <c r="D14" s="323">
        <v>67.14338100476715</v>
      </c>
      <c r="E14" s="318">
        <v>1962</v>
      </c>
      <c r="F14" s="318">
        <v>1908</v>
      </c>
      <c r="G14" s="319">
        <f t="shared" si="0"/>
        <v>97.247706422018354</v>
      </c>
      <c r="H14" s="318">
        <v>297</v>
      </c>
      <c r="I14" s="318">
        <v>3</v>
      </c>
      <c r="J14" s="323">
        <f t="shared" si="1"/>
        <v>1.0101010101010102</v>
      </c>
    </row>
    <row r="15" spans="1:13" s="24" customFormat="1" ht="18" customHeight="1">
      <c r="A15" s="322">
        <v>44197</v>
      </c>
      <c r="B15" s="318">
        <v>5455</v>
      </c>
      <c r="C15" s="318">
        <v>3666</v>
      </c>
      <c r="D15" s="323">
        <v>67.204399633363892</v>
      </c>
      <c r="E15" s="318">
        <v>1965</v>
      </c>
      <c r="F15" s="318">
        <v>1930</v>
      </c>
      <c r="G15" s="319">
        <v>98.218829516539444</v>
      </c>
      <c r="H15" s="318">
        <v>297</v>
      </c>
      <c r="I15" s="318">
        <v>1</v>
      </c>
      <c r="J15" s="323">
        <v>0.33670033670033667</v>
      </c>
    </row>
    <row r="16" spans="1:13" s="24" customFormat="1" ht="18" customHeight="1">
      <c r="A16" s="322">
        <v>44228</v>
      </c>
      <c r="B16" s="318">
        <v>5462</v>
      </c>
      <c r="C16" s="318">
        <v>3664</v>
      </c>
      <c r="D16" s="323">
        <v>67.081655071402409</v>
      </c>
      <c r="E16" s="318">
        <v>1957</v>
      </c>
      <c r="F16" s="318">
        <v>1937</v>
      </c>
      <c r="G16" s="319">
        <v>98.978027593254978</v>
      </c>
      <c r="H16" s="318">
        <v>298</v>
      </c>
      <c r="I16" s="318">
        <v>3</v>
      </c>
      <c r="J16" s="323">
        <v>1.006711409395973</v>
      </c>
    </row>
    <row r="17" spans="1:7" s="24" customFormat="1" ht="13.5" customHeight="1">
      <c r="A17" s="29" t="s">
        <v>354</v>
      </c>
      <c r="B17" s="34"/>
      <c r="C17" s="34"/>
      <c r="D17" s="107"/>
      <c r="E17" s="34"/>
      <c r="F17" s="34"/>
      <c r="G17" s="107"/>
    </row>
    <row r="18" spans="1:7" s="24" customFormat="1" ht="15" customHeight="1">
      <c r="A18" s="1215" t="s">
        <v>1173</v>
      </c>
      <c r="B18" s="1215"/>
      <c r="C18" s="1215"/>
      <c r="D18" s="1215"/>
      <c r="E18" s="1215"/>
      <c r="F18" s="1215"/>
      <c r="G18" s="1215"/>
    </row>
    <row r="19" spans="1:7" s="24" customFormat="1" ht="28.35" customHeight="1">
      <c r="A19" s="1215" t="s">
        <v>82</v>
      </c>
      <c r="B19" s="1215"/>
      <c r="C19" s="1215"/>
      <c r="D19" s="1215"/>
      <c r="E19" s="1215"/>
      <c r="F19" s="1215"/>
      <c r="G19" s="1215"/>
    </row>
    <row r="23" spans="1:7">
      <c r="D23" s="108"/>
    </row>
    <row r="25" spans="1:7">
      <c r="G25" s="108"/>
    </row>
  </sheetData>
  <mergeCells count="7">
    <mergeCell ref="H2:J2"/>
    <mergeCell ref="A18:G18"/>
    <mergeCell ref="A19:G19"/>
    <mergeCell ref="A1:G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
  <sheetViews>
    <sheetView workbookViewId="0">
      <selection activeCell="B21" sqref="B21"/>
    </sheetView>
  </sheetViews>
  <sheetFormatPr defaultColWidth="9.140625" defaultRowHeight="15"/>
  <cols>
    <col min="1" max="1" width="7" style="21" bestFit="1" customWidth="1"/>
    <col min="2" max="2" width="39.140625" style="52" customWidth="1"/>
    <col min="3" max="3" width="14.7109375" style="21" bestFit="1" customWidth="1"/>
    <col min="4" max="4" width="18" style="21" customWidth="1"/>
    <col min="5" max="9" width="14.7109375" style="21" bestFit="1" customWidth="1"/>
    <col min="10" max="10" width="11.7109375" style="21" bestFit="1" customWidth="1"/>
    <col min="11" max="16384" width="9.140625" style="21"/>
  </cols>
  <sheetData>
    <row r="1" spans="1:10">
      <c r="A1" s="1179" t="s">
        <v>1177</v>
      </c>
      <c r="B1" s="1179"/>
      <c r="C1" s="1179"/>
      <c r="D1" s="1179"/>
      <c r="E1" s="1179"/>
      <c r="F1" s="1179"/>
      <c r="G1" s="1179"/>
      <c r="H1" s="1179"/>
      <c r="I1" s="1179"/>
      <c r="J1" s="1179"/>
    </row>
    <row r="2" spans="1:10" s="22" customFormat="1" ht="45">
      <c r="A2" s="44" t="s">
        <v>38</v>
      </c>
      <c r="B2" s="45" t="s">
        <v>39</v>
      </c>
      <c r="C2" s="44" t="s">
        <v>311</v>
      </c>
      <c r="D2" s="44" t="s">
        <v>40</v>
      </c>
      <c r="E2" s="44" t="s">
        <v>41</v>
      </c>
      <c r="F2" s="44" t="s">
        <v>42</v>
      </c>
      <c r="G2" s="44" t="s">
        <v>434</v>
      </c>
      <c r="H2" s="44" t="s">
        <v>435</v>
      </c>
      <c r="I2" s="44" t="s">
        <v>436</v>
      </c>
      <c r="J2" s="44" t="s">
        <v>437</v>
      </c>
    </row>
    <row r="3" spans="1:10" s="22" customFormat="1">
      <c r="A3" s="53" t="s">
        <v>454</v>
      </c>
      <c r="B3" s="46" t="s">
        <v>1211</v>
      </c>
      <c r="C3" s="47">
        <v>44229</v>
      </c>
      <c r="D3" s="48" t="s">
        <v>1170</v>
      </c>
      <c r="E3" s="49" t="s">
        <v>239</v>
      </c>
      <c r="F3" s="50">
        <v>7853422</v>
      </c>
      <c r="G3" s="48">
        <v>10</v>
      </c>
      <c r="H3" s="49">
        <v>1480</v>
      </c>
      <c r="I3" s="48">
        <v>1490</v>
      </c>
      <c r="J3" s="1107">
        <v>1169.1199999999999</v>
      </c>
    </row>
    <row r="4" spans="1:10" s="22" customFormat="1">
      <c r="A4" s="53" t="s">
        <v>455</v>
      </c>
      <c r="B4" s="46" t="s">
        <v>1212</v>
      </c>
      <c r="C4" s="47">
        <v>44230</v>
      </c>
      <c r="D4" s="48" t="s">
        <v>1170</v>
      </c>
      <c r="E4" s="49" t="s">
        <v>239</v>
      </c>
      <c r="F4" s="50">
        <v>22272556</v>
      </c>
      <c r="G4" s="48">
        <v>2</v>
      </c>
      <c r="H4" s="49">
        <v>516</v>
      </c>
      <c r="I4" s="48">
        <v>518</v>
      </c>
      <c r="J4" s="1107">
        <v>1153.72</v>
      </c>
    </row>
    <row r="5" spans="1:10" s="22" customFormat="1">
      <c r="A5" s="53" t="s">
        <v>456</v>
      </c>
      <c r="B5" s="46" t="s">
        <v>1213</v>
      </c>
      <c r="C5" s="47">
        <v>44232</v>
      </c>
      <c r="D5" s="48" t="s">
        <v>1170</v>
      </c>
      <c r="E5" s="49" t="s">
        <v>239</v>
      </c>
      <c r="F5" s="50">
        <v>10717532</v>
      </c>
      <c r="G5" s="48">
        <v>10</v>
      </c>
      <c r="H5" s="49">
        <v>375</v>
      </c>
      <c r="I5" s="48">
        <v>385</v>
      </c>
      <c r="J5" s="1107">
        <v>412.63</v>
      </c>
    </row>
    <row r="6" spans="1:10" s="22" customFormat="1">
      <c r="A6" s="53" t="s">
        <v>1219</v>
      </c>
      <c r="B6" s="46" t="s">
        <v>1214</v>
      </c>
      <c r="C6" s="47">
        <v>44245</v>
      </c>
      <c r="D6" s="48" t="s">
        <v>1215</v>
      </c>
      <c r="E6" s="49" t="s">
        <v>239</v>
      </c>
      <c r="F6" s="50">
        <v>810000</v>
      </c>
      <c r="G6" s="48">
        <v>10</v>
      </c>
      <c r="H6" s="49">
        <v>30</v>
      </c>
      <c r="I6" s="48">
        <v>40</v>
      </c>
      <c r="J6" s="1107">
        <v>3.24</v>
      </c>
    </row>
    <row r="7" spans="1:10" s="22" customFormat="1">
      <c r="A7" s="53" t="s">
        <v>232</v>
      </c>
      <c r="B7" s="46" t="s">
        <v>1216</v>
      </c>
      <c r="C7" s="47">
        <v>44252</v>
      </c>
      <c r="D7" s="48" t="s">
        <v>1170</v>
      </c>
      <c r="E7" s="49" t="s">
        <v>239</v>
      </c>
      <c r="F7" s="50">
        <v>2500175</v>
      </c>
      <c r="G7" s="48">
        <v>10</v>
      </c>
      <c r="H7" s="49">
        <v>390</v>
      </c>
      <c r="I7" s="48">
        <v>400</v>
      </c>
      <c r="J7" s="1107">
        <v>100</v>
      </c>
    </row>
    <row r="8" spans="1:10" s="22" customFormat="1">
      <c r="A8" s="53" t="s">
        <v>1220</v>
      </c>
      <c r="B8" s="46" t="s">
        <v>1217</v>
      </c>
      <c r="C8" s="47">
        <v>44253</v>
      </c>
      <c r="D8" s="48" t="s">
        <v>1170</v>
      </c>
      <c r="E8" s="49" t="s">
        <v>239</v>
      </c>
      <c r="F8" s="50">
        <v>87153369</v>
      </c>
      <c r="G8" s="48">
        <v>10</v>
      </c>
      <c r="H8" s="49">
        <v>84</v>
      </c>
      <c r="I8" s="48">
        <v>94</v>
      </c>
      <c r="J8" s="1107">
        <v>819.24</v>
      </c>
    </row>
    <row r="9" spans="1:10" s="22" customFormat="1">
      <c r="A9" s="53" t="s">
        <v>1221</v>
      </c>
      <c r="B9" s="46" t="s">
        <v>1218</v>
      </c>
      <c r="C9" s="47">
        <v>44253</v>
      </c>
      <c r="D9" s="48" t="s">
        <v>1171</v>
      </c>
      <c r="E9" s="49" t="s">
        <v>239</v>
      </c>
      <c r="F9" s="50">
        <v>461325021</v>
      </c>
      <c r="G9" s="48">
        <v>10</v>
      </c>
      <c r="H9" s="49">
        <v>55</v>
      </c>
      <c r="I9" s="48">
        <v>65</v>
      </c>
      <c r="J9" s="1107">
        <v>2998.61</v>
      </c>
    </row>
    <row r="10" spans="1:10" s="22" customFormat="1">
      <c r="A10" s="1180" t="s">
        <v>442</v>
      </c>
      <c r="B10" s="1180"/>
      <c r="C10" s="1180"/>
      <c r="D10" s="1180"/>
      <c r="E10" s="1180"/>
      <c r="F10" s="1180"/>
    </row>
    <row r="11" spans="1:10" s="22" customFormat="1">
      <c r="A11" s="51" t="s">
        <v>433</v>
      </c>
      <c r="B11" s="41"/>
      <c r="C11" s="41"/>
      <c r="D11" s="41"/>
      <c r="E11" s="41"/>
      <c r="F11" s="41"/>
    </row>
    <row r="12" spans="1:10" s="22" customFormat="1">
      <c r="A12" s="1180" t="s">
        <v>43</v>
      </c>
      <c r="B12" s="1180"/>
      <c r="C12" s="1180"/>
      <c r="D12" s="1180"/>
      <c r="E12" s="1180"/>
      <c r="F12" s="1180"/>
    </row>
    <row r="13" spans="1:10" s="22" customFormat="1">
      <c r="B13" s="54"/>
    </row>
  </sheetData>
  <mergeCells count="3">
    <mergeCell ref="A1:J1"/>
    <mergeCell ref="A10:F10"/>
    <mergeCell ref="A12:F1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20"/>
  <sheetViews>
    <sheetView workbookViewId="0">
      <selection activeCell="L24" sqref="L24"/>
    </sheetView>
  </sheetViews>
  <sheetFormatPr defaultColWidth="8.85546875" defaultRowHeight="15"/>
  <cols>
    <col min="1" max="6" width="14.7109375" style="21" bestFit="1" customWidth="1"/>
    <col min="7" max="7" width="8.85546875" style="21" bestFit="1" customWidth="1"/>
    <col min="8" max="8" width="14.7109375" style="21" bestFit="1" customWidth="1"/>
    <col min="9" max="9" width="4.7109375" style="21" bestFit="1" customWidth="1"/>
    <col min="10" max="256" width="8.85546875" style="21"/>
    <col min="257" max="264" width="14.7109375" style="21" bestFit="1" customWidth="1"/>
    <col min="265" max="265" width="4.7109375" style="21" bestFit="1" customWidth="1"/>
    <col min="266" max="512" width="8.85546875" style="21"/>
    <col min="513" max="520" width="14.7109375" style="21" bestFit="1" customWidth="1"/>
    <col min="521" max="521" width="4.7109375" style="21" bestFit="1" customWidth="1"/>
    <col min="522" max="768" width="8.85546875" style="21"/>
    <col min="769" max="776" width="14.7109375" style="21" bestFit="1" customWidth="1"/>
    <col min="777" max="777" width="4.7109375" style="21" bestFit="1" customWidth="1"/>
    <col min="778" max="1024" width="8.85546875" style="21"/>
    <col min="1025" max="1032" width="14.7109375" style="21" bestFit="1" customWidth="1"/>
    <col min="1033" max="1033" width="4.7109375" style="21" bestFit="1" customWidth="1"/>
    <col min="1034" max="1280" width="8.85546875" style="21"/>
    <col min="1281" max="1288" width="14.7109375" style="21" bestFit="1" customWidth="1"/>
    <col min="1289" max="1289" width="4.7109375" style="21" bestFit="1" customWidth="1"/>
    <col min="1290" max="1536" width="8.85546875" style="21"/>
    <col min="1537" max="1544" width="14.7109375" style="21" bestFit="1" customWidth="1"/>
    <col min="1545" max="1545" width="4.7109375" style="21" bestFit="1" customWidth="1"/>
    <col min="1546" max="1792" width="8.85546875" style="21"/>
    <col min="1793" max="1800" width="14.7109375" style="21" bestFit="1" customWidth="1"/>
    <col min="1801" max="1801" width="4.7109375" style="21" bestFit="1" customWidth="1"/>
    <col min="1802" max="2048" width="8.85546875" style="21"/>
    <col min="2049" max="2056" width="14.7109375" style="21" bestFit="1" customWidth="1"/>
    <col min="2057" max="2057" width="4.7109375" style="21" bestFit="1" customWidth="1"/>
    <col min="2058" max="2304" width="8.85546875" style="21"/>
    <col min="2305" max="2312" width="14.7109375" style="21" bestFit="1" customWidth="1"/>
    <col min="2313" max="2313" width="4.7109375" style="21" bestFit="1" customWidth="1"/>
    <col min="2314" max="2560" width="8.85546875" style="21"/>
    <col min="2561" max="2568" width="14.7109375" style="21" bestFit="1" customWidth="1"/>
    <col min="2569" max="2569" width="4.7109375" style="21" bestFit="1" customWidth="1"/>
    <col min="2570" max="2816" width="8.85546875" style="21"/>
    <col min="2817" max="2824" width="14.7109375" style="21" bestFit="1" customWidth="1"/>
    <col min="2825" max="2825" width="4.7109375" style="21" bestFit="1" customWidth="1"/>
    <col min="2826" max="3072" width="8.85546875" style="21"/>
    <col min="3073" max="3080" width="14.7109375" style="21" bestFit="1" customWidth="1"/>
    <col min="3081" max="3081" width="4.7109375" style="21" bestFit="1" customWidth="1"/>
    <col min="3082" max="3328" width="8.85546875" style="21"/>
    <col min="3329" max="3336" width="14.7109375" style="21" bestFit="1" customWidth="1"/>
    <col min="3337" max="3337" width="4.7109375" style="21" bestFit="1" customWidth="1"/>
    <col min="3338" max="3584" width="8.85546875" style="21"/>
    <col min="3585" max="3592" width="14.7109375" style="21" bestFit="1" customWidth="1"/>
    <col min="3593" max="3593" width="4.7109375" style="21" bestFit="1" customWidth="1"/>
    <col min="3594" max="3840" width="8.85546875" style="21"/>
    <col min="3841" max="3848" width="14.7109375" style="21" bestFit="1" customWidth="1"/>
    <col min="3849" max="3849" width="4.7109375" style="21" bestFit="1" customWidth="1"/>
    <col min="3850" max="4096" width="8.85546875" style="21"/>
    <col min="4097" max="4104" width="14.7109375" style="21" bestFit="1" customWidth="1"/>
    <col min="4105" max="4105" width="4.7109375" style="21" bestFit="1" customWidth="1"/>
    <col min="4106" max="4352" width="8.85546875" style="21"/>
    <col min="4353" max="4360" width="14.7109375" style="21" bestFit="1" customWidth="1"/>
    <col min="4361" max="4361" width="4.7109375" style="21" bestFit="1" customWidth="1"/>
    <col min="4362" max="4608" width="8.85546875" style="21"/>
    <col min="4609" max="4616" width="14.7109375" style="21" bestFit="1" customWidth="1"/>
    <col min="4617" max="4617" width="4.7109375" style="21" bestFit="1" customWidth="1"/>
    <col min="4618" max="4864" width="8.85546875" style="21"/>
    <col min="4865" max="4872" width="14.7109375" style="21" bestFit="1" customWidth="1"/>
    <col min="4873" max="4873" width="4.7109375" style="21" bestFit="1" customWidth="1"/>
    <col min="4874" max="5120" width="8.85546875" style="21"/>
    <col min="5121" max="5128" width="14.7109375" style="21" bestFit="1" customWidth="1"/>
    <col min="5129" max="5129" width="4.7109375" style="21" bestFit="1" customWidth="1"/>
    <col min="5130" max="5376" width="8.85546875" style="21"/>
    <col min="5377" max="5384" width="14.7109375" style="21" bestFit="1" customWidth="1"/>
    <col min="5385" max="5385" width="4.7109375" style="21" bestFit="1" customWidth="1"/>
    <col min="5386" max="5632" width="8.85546875" style="21"/>
    <col min="5633" max="5640" width="14.7109375" style="21" bestFit="1" customWidth="1"/>
    <col min="5641" max="5641" width="4.7109375" style="21" bestFit="1" customWidth="1"/>
    <col min="5642" max="5888" width="8.85546875" style="21"/>
    <col min="5889" max="5896" width="14.7109375" style="21" bestFit="1" customWidth="1"/>
    <col min="5897" max="5897" width="4.7109375" style="21" bestFit="1" customWidth="1"/>
    <col min="5898" max="6144" width="8.85546875" style="21"/>
    <col min="6145" max="6152" width="14.7109375" style="21" bestFit="1" customWidth="1"/>
    <col min="6153" max="6153" width="4.7109375" style="21" bestFit="1" customWidth="1"/>
    <col min="6154" max="6400" width="8.85546875" style="21"/>
    <col min="6401" max="6408" width="14.7109375" style="21" bestFit="1" customWidth="1"/>
    <col min="6409" max="6409" width="4.7109375" style="21" bestFit="1" customWidth="1"/>
    <col min="6410" max="6656" width="8.85546875" style="21"/>
    <col min="6657" max="6664" width="14.7109375" style="21" bestFit="1" customWidth="1"/>
    <col min="6665" max="6665" width="4.7109375" style="21" bestFit="1" customWidth="1"/>
    <col min="6666" max="6912" width="8.85546875" style="21"/>
    <col min="6913" max="6920" width="14.7109375" style="21" bestFit="1" customWidth="1"/>
    <col min="6921" max="6921" width="4.7109375" style="21" bestFit="1" customWidth="1"/>
    <col min="6922" max="7168" width="8.85546875" style="21"/>
    <col min="7169" max="7176" width="14.7109375" style="21" bestFit="1" customWidth="1"/>
    <col min="7177" max="7177" width="4.7109375" style="21" bestFit="1" customWidth="1"/>
    <col min="7178" max="7424" width="8.85546875" style="21"/>
    <col min="7425" max="7432" width="14.7109375" style="21" bestFit="1" customWidth="1"/>
    <col min="7433" max="7433" width="4.7109375" style="21" bestFit="1" customWidth="1"/>
    <col min="7434" max="7680" width="8.85546875" style="21"/>
    <col min="7681" max="7688" width="14.7109375" style="21" bestFit="1" customWidth="1"/>
    <col min="7689" max="7689" width="4.7109375" style="21" bestFit="1" customWidth="1"/>
    <col min="7690" max="7936" width="8.85546875" style="21"/>
    <col min="7937" max="7944" width="14.7109375" style="21" bestFit="1" customWidth="1"/>
    <col min="7945" max="7945" width="4.7109375" style="21" bestFit="1" customWidth="1"/>
    <col min="7946" max="8192" width="8.85546875" style="21"/>
    <col min="8193" max="8200" width="14.7109375" style="21" bestFit="1" customWidth="1"/>
    <col min="8201" max="8201" width="4.7109375" style="21" bestFit="1" customWidth="1"/>
    <col min="8202" max="8448" width="8.85546875" style="21"/>
    <col min="8449" max="8456" width="14.7109375" style="21" bestFit="1" customWidth="1"/>
    <col min="8457" max="8457" width="4.7109375" style="21" bestFit="1" customWidth="1"/>
    <col min="8458" max="8704" width="8.85546875" style="21"/>
    <col min="8705" max="8712" width="14.7109375" style="21" bestFit="1" customWidth="1"/>
    <col min="8713" max="8713" width="4.7109375" style="21" bestFit="1" customWidth="1"/>
    <col min="8714" max="8960" width="8.85546875" style="21"/>
    <col min="8961" max="8968" width="14.7109375" style="21" bestFit="1" customWidth="1"/>
    <col min="8969" max="8969" width="4.7109375" style="21" bestFit="1" customWidth="1"/>
    <col min="8970" max="9216" width="8.85546875" style="21"/>
    <col min="9217" max="9224" width="14.7109375" style="21" bestFit="1" customWidth="1"/>
    <col min="9225" max="9225" width="4.7109375" style="21" bestFit="1" customWidth="1"/>
    <col min="9226" max="9472" width="8.85546875" style="21"/>
    <col min="9473" max="9480" width="14.7109375" style="21" bestFit="1" customWidth="1"/>
    <col min="9481" max="9481" width="4.7109375" style="21" bestFit="1" customWidth="1"/>
    <col min="9482" max="9728" width="8.85546875" style="21"/>
    <col min="9729" max="9736" width="14.7109375" style="21" bestFit="1" customWidth="1"/>
    <col min="9737" max="9737" width="4.7109375" style="21" bestFit="1" customWidth="1"/>
    <col min="9738" max="9984" width="8.85546875" style="21"/>
    <col min="9985" max="9992" width="14.7109375" style="21" bestFit="1" customWidth="1"/>
    <col min="9993" max="9993" width="4.7109375" style="21" bestFit="1" customWidth="1"/>
    <col min="9994" max="10240" width="8.85546875" style="21"/>
    <col min="10241" max="10248" width="14.7109375" style="21" bestFit="1" customWidth="1"/>
    <col min="10249" max="10249" width="4.7109375" style="21" bestFit="1" customWidth="1"/>
    <col min="10250" max="10496" width="8.85546875" style="21"/>
    <col min="10497" max="10504" width="14.7109375" style="21" bestFit="1" customWidth="1"/>
    <col min="10505" max="10505" width="4.7109375" style="21" bestFit="1" customWidth="1"/>
    <col min="10506" max="10752" width="8.85546875" style="21"/>
    <col min="10753" max="10760" width="14.7109375" style="21" bestFit="1" customWidth="1"/>
    <col min="10761" max="10761" width="4.7109375" style="21" bestFit="1" customWidth="1"/>
    <col min="10762" max="11008" width="8.85546875" style="21"/>
    <col min="11009" max="11016" width="14.7109375" style="21" bestFit="1" customWidth="1"/>
    <col min="11017" max="11017" width="4.7109375" style="21" bestFit="1" customWidth="1"/>
    <col min="11018" max="11264" width="8.85546875" style="21"/>
    <col min="11265" max="11272" width="14.7109375" style="21" bestFit="1" customWidth="1"/>
    <col min="11273" max="11273" width="4.7109375" style="21" bestFit="1" customWidth="1"/>
    <col min="11274" max="11520" width="8.85546875" style="21"/>
    <col min="11521" max="11528" width="14.7109375" style="21" bestFit="1" customWidth="1"/>
    <col min="11529" max="11529" width="4.7109375" style="21" bestFit="1" customWidth="1"/>
    <col min="11530" max="11776" width="8.85546875" style="21"/>
    <col min="11777" max="11784" width="14.7109375" style="21" bestFit="1" customWidth="1"/>
    <col min="11785" max="11785" width="4.7109375" style="21" bestFit="1" customWidth="1"/>
    <col min="11786" max="12032" width="8.85546875" style="21"/>
    <col min="12033" max="12040" width="14.7109375" style="21" bestFit="1" customWidth="1"/>
    <col min="12041" max="12041" width="4.7109375" style="21" bestFit="1" customWidth="1"/>
    <col min="12042" max="12288" width="8.85546875" style="21"/>
    <col min="12289" max="12296" width="14.7109375" style="21" bestFit="1" customWidth="1"/>
    <col min="12297" max="12297" width="4.7109375" style="21" bestFit="1" customWidth="1"/>
    <col min="12298" max="12544" width="8.85546875" style="21"/>
    <col min="12545" max="12552" width="14.7109375" style="21" bestFit="1" customWidth="1"/>
    <col min="12553" max="12553" width="4.7109375" style="21" bestFit="1" customWidth="1"/>
    <col min="12554" max="12800" width="8.85546875" style="21"/>
    <col min="12801" max="12808" width="14.7109375" style="21" bestFit="1" customWidth="1"/>
    <col min="12809" max="12809" width="4.7109375" style="21" bestFit="1" customWidth="1"/>
    <col min="12810" max="13056" width="8.85546875" style="21"/>
    <col min="13057" max="13064" width="14.7109375" style="21" bestFit="1" customWidth="1"/>
    <col min="13065" max="13065" width="4.7109375" style="21" bestFit="1" customWidth="1"/>
    <col min="13066" max="13312" width="8.85546875" style="21"/>
    <col min="13313" max="13320" width="14.7109375" style="21" bestFit="1" customWidth="1"/>
    <col min="13321" max="13321" width="4.7109375" style="21" bestFit="1" customWidth="1"/>
    <col min="13322" max="13568" width="8.85546875" style="21"/>
    <col min="13569" max="13576" width="14.7109375" style="21" bestFit="1" customWidth="1"/>
    <col min="13577" max="13577" width="4.7109375" style="21" bestFit="1" customWidth="1"/>
    <col min="13578" max="13824" width="8.85546875" style="21"/>
    <col min="13825" max="13832" width="14.7109375" style="21" bestFit="1" customWidth="1"/>
    <col min="13833" max="13833" width="4.7109375" style="21" bestFit="1" customWidth="1"/>
    <col min="13834" max="14080" width="8.85546875" style="21"/>
    <col min="14081" max="14088" width="14.7109375" style="21" bestFit="1" customWidth="1"/>
    <col min="14089" max="14089" width="4.7109375" style="21" bestFit="1" customWidth="1"/>
    <col min="14090" max="14336" width="8.85546875" style="21"/>
    <col min="14337" max="14344" width="14.7109375" style="21" bestFit="1" customWidth="1"/>
    <col min="14345" max="14345" width="4.7109375" style="21" bestFit="1" customWidth="1"/>
    <col min="14346" max="14592" width="8.85546875" style="21"/>
    <col min="14593" max="14600" width="14.7109375" style="21" bestFit="1" customWidth="1"/>
    <col min="14601" max="14601" width="4.7109375" style="21" bestFit="1" customWidth="1"/>
    <col min="14602" max="14848" width="8.85546875" style="21"/>
    <col min="14849" max="14856" width="14.7109375" style="21" bestFit="1" customWidth="1"/>
    <col min="14857" max="14857" width="4.7109375" style="21" bestFit="1" customWidth="1"/>
    <col min="14858" max="15104" width="8.85546875" style="21"/>
    <col min="15105" max="15112" width="14.7109375" style="21" bestFit="1" customWidth="1"/>
    <col min="15113" max="15113" width="4.7109375" style="21" bestFit="1" customWidth="1"/>
    <col min="15114" max="15360" width="8.85546875" style="21"/>
    <col min="15361" max="15368" width="14.7109375" style="21" bestFit="1" customWidth="1"/>
    <col min="15369" max="15369" width="4.7109375" style="21" bestFit="1" customWidth="1"/>
    <col min="15370" max="15616" width="8.85546875" style="21"/>
    <col min="15617" max="15624" width="14.7109375" style="21" bestFit="1" customWidth="1"/>
    <col min="15625" max="15625" width="4.7109375" style="21" bestFit="1" customWidth="1"/>
    <col min="15626" max="15872" width="8.85546875" style="21"/>
    <col min="15873" max="15880" width="14.7109375" style="21" bestFit="1" customWidth="1"/>
    <col min="15881" max="15881" width="4.7109375" style="21" bestFit="1" customWidth="1"/>
    <col min="15882" max="16128" width="8.85546875" style="21"/>
    <col min="16129" max="16136" width="14.7109375" style="21" bestFit="1" customWidth="1"/>
    <col min="16137" max="16137" width="4.7109375" style="21" bestFit="1" customWidth="1"/>
    <col min="16138" max="16384" width="8.85546875" style="21"/>
  </cols>
  <sheetData>
    <row r="1" spans="1:8" ht="15.75" customHeight="1">
      <c r="A1" s="100" t="s">
        <v>362</v>
      </c>
      <c r="B1" s="100"/>
      <c r="C1" s="100"/>
    </row>
    <row r="2" spans="1:8">
      <c r="A2" s="100"/>
      <c r="B2" s="100"/>
      <c r="C2" s="100"/>
      <c r="H2" s="21" t="s">
        <v>331</v>
      </c>
    </row>
    <row r="3" spans="1:8" s="24" customFormat="1" ht="15.75" customHeight="1">
      <c r="A3" s="101" t="s">
        <v>51</v>
      </c>
      <c r="B3" s="94" t="s">
        <v>223</v>
      </c>
      <c r="C3" s="94" t="s">
        <v>224</v>
      </c>
      <c r="D3" s="94" t="s">
        <v>225</v>
      </c>
      <c r="E3" s="94" t="s">
        <v>226</v>
      </c>
      <c r="F3" s="94" t="s">
        <v>227</v>
      </c>
      <c r="G3" s="94" t="s">
        <v>228</v>
      </c>
      <c r="H3" s="94" t="s">
        <v>229</v>
      </c>
    </row>
    <row r="4" spans="1:8" s="25" customFormat="1" ht="16.5" customHeight="1">
      <c r="A4" s="102" t="s">
        <v>58</v>
      </c>
      <c r="B4" s="104">
        <v>1.77</v>
      </c>
      <c r="C4" s="104">
        <v>1.74</v>
      </c>
      <c r="D4" s="104">
        <v>1.7</v>
      </c>
      <c r="E4" s="104">
        <v>1.7456697859999999</v>
      </c>
      <c r="F4" s="104">
        <v>1.6196834090000001</v>
      </c>
      <c r="G4" s="104">
        <v>1.6847958089999999</v>
      </c>
      <c r="H4" s="104">
        <v>1.71</v>
      </c>
    </row>
    <row r="5" spans="1:8" s="25" customFormat="1" ht="16.5" customHeight="1">
      <c r="A5" s="283" t="s">
        <v>61</v>
      </c>
      <c r="B5" s="284">
        <v>1.442192068</v>
      </c>
      <c r="C5" s="284">
        <v>1.3678959550000001</v>
      </c>
      <c r="D5" s="284">
        <v>1.3040987740000001</v>
      </c>
      <c r="E5" s="284">
        <v>1.4045526699999999</v>
      </c>
      <c r="F5" s="284">
        <v>1.2020118630000001</v>
      </c>
      <c r="G5" s="284">
        <v>1.296276312</v>
      </c>
      <c r="H5" s="285">
        <v>1.4</v>
      </c>
    </row>
    <row r="6" spans="1:8" s="24" customFormat="1" ht="18" customHeight="1">
      <c r="A6" s="242" t="s">
        <v>60</v>
      </c>
      <c r="B6" s="282">
        <v>3.03</v>
      </c>
      <c r="C6" s="282">
        <v>2.81</v>
      </c>
      <c r="D6" s="282">
        <v>2.6</v>
      </c>
      <c r="E6" s="282">
        <v>2.8437730370000001</v>
      </c>
      <c r="F6" s="282">
        <v>1.971064465</v>
      </c>
      <c r="G6" s="282">
        <v>2.5081819959999998</v>
      </c>
      <c r="H6" s="280">
        <v>3.01</v>
      </c>
    </row>
    <row r="7" spans="1:8" s="24" customFormat="1" ht="18" customHeight="1">
      <c r="A7" s="242" t="s">
        <v>59</v>
      </c>
      <c r="B7" s="282">
        <v>2.15</v>
      </c>
      <c r="C7" s="282">
        <v>2.04</v>
      </c>
      <c r="D7" s="282">
        <v>1.91</v>
      </c>
      <c r="E7" s="282">
        <v>2.048551588</v>
      </c>
      <c r="F7" s="282">
        <v>1.6476503140000001</v>
      </c>
      <c r="G7" s="282">
        <v>1.852370831</v>
      </c>
      <c r="H7" s="280">
        <v>2.0499999999999998</v>
      </c>
    </row>
    <row r="8" spans="1:8" s="24" customFormat="1" ht="18" customHeight="1">
      <c r="A8" s="242" t="s">
        <v>310</v>
      </c>
      <c r="B8" s="282">
        <v>1.25</v>
      </c>
      <c r="C8" s="282">
        <v>1.18</v>
      </c>
      <c r="D8" s="282">
        <v>1.1499999999999999</v>
      </c>
      <c r="E8" s="282">
        <v>1.2171892010000001</v>
      </c>
      <c r="F8" s="282">
        <v>0.945600102</v>
      </c>
      <c r="G8" s="282">
        <v>1.1310003790000001</v>
      </c>
      <c r="H8" s="280">
        <v>1.21</v>
      </c>
    </row>
    <row r="9" spans="1:8" s="24" customFormat="1" ht="18" customHeight="1">
      <c r="A9" s="242" t="s">
        <v>356</v>
      </c>
      <c r="B9" s="282">
        <v>0.97</v>
      </c>
      <c r="C9" s="282">
        <v>0.88</v>
      </c>
      <c r="D9" s="282">
        <v>0.82</v>
      </c>
      <c r="E9" s="282">
        <v>0.92596389499999998</v>
      </c>
      <c r="F9" s="282">
        <v>0.67255359400000003</v>
      </c>
      <c r="G9" s="282">
        <v>0.80530851699999995</v>
      </c>
      <c r="H9" s="280">
        <v>0.93</v>
      </c>
    </row>
    <row r="10" spans="1:8" s="24" customFormat="1" ht="18" customHeight="1">
      <c r="A10" s="242" t="s">
        <v>384</v>
      </c>
      <c r="B10" s="282">
        <v>0.99</v>
      </c>
      <c r="C10" s="282">
        <v>0.94</v>
      </c>
      <c r="D10" s="282">
        <v>0.93</v>
      </c>
      <c r="E10" s="282">
        <v>0.92569446200000005</v>
      </c>
      <c r="F10" s="282">
        <v>1.101700468</v>
      </c>
      <c r="G10" s="282">
        <v>0.91958686099999998</v>
      </c>
      <c r="H10" s="280">
        <v>0.93</v>
      </c>
    </row>
    <row r="11" spans="1:8" s="24" customFormat="1" ht="18" customHeight="1">
      <c r="A11" s="207">
        <v>44075</v>
      </c>
      <c r="B11" s="282">
        <v>1.1963697230000001</v>
      </c>
      <c r="C11" s="282">
        <v>1.2295098019999999</v>
      </c>
      <c r="D11" s="282">
        <v>1.2543283540000001</v>
      </c>
      <c r="E11" s="282">
        <v>1.1696402370000001</v>
      </c>
      <c r="F11" s="282">
        <v>1.353955553</v>
      </c>
      <c r="G11" s="282">
        <v>1.2230164509999999</v>
      </c>
      <c r="H11" s="280">
        <v>1.19</v>
      </c>
    </row>
    <row r="12" spans="1:8" s="24" customFormat="1" ht="18" customHeight="1">
      <c r="A12" s="207" t="s">
        <v>392</v>
      </c>
      <c r="B12" s="282">
        <v>1.0282128479999999</v>
      </c>
      <c r="C12" s="282">
        <v>0.93340800000000002</v>
      </c>
      <c r="D12" s="282">
        <v>0.85826741699999998</v>
      </c>
      <c r="E12" s="282">
        <v>0.94172470799999997</v>
      </c>
      <c r="F12" s="282">
        <v>0.73736095300000004</v>
      </c>
      <c r="G12" s="282">
        <v>0.835326122</v>
      </c>
      <c r="H12" s="280">
        <v>0.98</v>
      </c>
    </row>
    <row r="13" spans="1:8" s="24" customFormat="1" ht="18" customHeight="1">
      <c r="A13" s="207">
        <v>44136</v>
      </c>
      <c r="B13" s="282">
        <v>0.9033380901004372</v>
      </c>
      <c r="C13" s="282">
        <v>0.82678346140161108</v>
      </c>
      <c r="D13" s="282">
        <v>0.74836968301322426</v>
      </c>
      <c r="E13" s="282">
        <v>0.83995939799999997</v>
      </c>
      <c r="F13" s="286">
        <v>0.73352753999999998</v>
      </c>
      <c r="G13" s="282">
        <v>0.72887254599999995</v>
      </c>
      <c r="H13" s="280">
        <v>0.87</v>
      </c>
    </row>
    <row r="14" spans="1:8" s="24" customFormat="1" ht="18" customHeight="1">
      <c r="A14" s="207">
        <v>44166</v>
      </c>
      <c r="B14" s="282">
        <v>0.87712436813665928</v>
      </c>
      <c r="C14" s="282">
        <v>0.92894369069654181</v>
      </c>
      <c r="D14" s="282">
        <v>0.97176144205659631</v>
      </c>
      <c r="E14" s="282">
        <v>0.87616853800000005</v>
      </c>
      <c r="F14" s="286">
        <v>0.98922686199999998</v>
      </c>
      <c r="G14" s="282">
        <v>0.93280977600000003</v>
      </c>
      <c r="H14" s="280">
        <v>0.87321537183722298</v>
      </c>
    </row>
    <row r="15" spans="1:8" s="24" customFormat="1" ht="18" customHeight="1">
      <c r="A15" s="207">
        <v>44197</v>
      </c>
      <c r="B15" s="282">
        <v>1.0241488009999999</v>
      </c>
      <c r="C15" s="282">
        <v>1.032808551</v>
      </c>
      <c r="D15" s="282">
        <v>1.0044429690000001</v>
      </c>
      <c r="E15" s="282">
        <v>0.99964317599999997</v>
      </c>
      <c r="F15" s="286">
        <v>1.159803259</v>
      </c>
      <c r="G15" s="282">
        <v>0.97463989299999998</v>
      </c>
      <c r="H15" s="280">
        <v>1</v>
      </c>
    </row>
    <row r="16" spans="1:8" s="24" customFormat="1" ht="18" customHeight="1">
      <c r="A16" s="207">
        <v>44228</v>
      </c>
      <c r="B16" s="282">
        <v>1.761336504</v>
      </c>
      <c r="C16" s="282">
        <v>1.6357394890000001</v>
      </c>
      <c r="D16" s="282">
        <v>1.489730319</v>
      </c>
      <c r="E16" s="282">
        <v>1.6559327370000001</v>
      </c>
      <c r="F16" s="286">
        <v>1.157218504</v>
      </c>
      <c r="G16" s="282">
        <v>1.44632194</v>
      </c>
      <c r="H16" s="280">
        <v>1.7</v>
      </c>
    </row>
    <row r="17" spans="1:7" s="24" customFormat="1">
      <c r="A17" s="1215" t="s">
        <v>498</v>
      </c>
      <c r="B17" s="1215"/>
      <c r="C17" s="1215"/>
      <c r="D17" s="1215"/>
      <c r="E17" s="1215"/>
      <c r="F17" s="1215"/>
      <c r="G17" s="1215"/>
    </row>
    <row r="18" spans="1:7" s="24" customFormat="1" ht="18" customHeight="1">
      <c r="A18" s="1180" t="s">
        <v>1175</v>
      </c>
      <c r="B18" s="1180"/>
      <c r="C18" s="1180"/>
      <c r="D18" s="1180"/>
      <c r="E18" s="1180"/>
      <c r="F18" s="1180"/>
      <c r="G18" s="1180"/>
    </row>
    <row r="19" spans="1:7" s="24" customFormat="1" ht="19.5" customHeight="1">
      <c r="A19" s="1180" t="s">
        <v>230</v>
      </c>
      <c r="B19" s="1180"/>
      <c r="C19" s="1180"/>
      <c r="D19" s="1180"/>
      <c r="E19" s="1180"/>
      <c r="F19" s="1180"/>
      <c r="G19" s="1180"/>
    </row>
    <row r="20" spans="1:7" s="24" customFormat="1" ht="27.6" customHeight="1"/>
  </sheetData>
  <mergeCells count="3">
    <mergeCell ref="A17:G17"/>
    <mergeCell ref="A18:G18"/>
    <mergeCell ref="A19:G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34"/>
  <sheetViews>
    <sheetView zoomScale="90" zoomScaleNormal="90" workbookViewId="0">
      <selection activeCell="A34" sqref="A34:K34"/>
    </sheetView>
  </sheetViews>
  <sheetFormatPr defaultColWidth="8.85546875" defaultRowHeight="15"/>
  <cols>
    <col min="1" max="1" width="14.7109375" style="21" bestFit="1" customWidth="1"/>
    <col min="2" max="15" width="9.7109375" style="21" customWidth="1"/>
    <col min="16" max="16" width="9.140625" style="21" customWidth="1"/>
    <col min="17" max="17" width="4.7109375" style="21" bestFit="1" customWidth="1"/>
    <col min="18" max="16384" width="8.85546875" style="21"/>
  </cols>
  <sheetData>
    <row r="1" spans="1:16">
      <c r="A1" s="1223" t="s">
        <v>377</v>
      </c>
      <c r="B1" s="1223"/>
      <c r="C1" s="1223"/>
      <c r="D1" s="1223"/>
      <c r="E1" s="1223"/>
      <c r="F1" s="1223"/>
      <c r="G1" s="1223"/>
      <c r="H1" s="1223"/>
      <c r="I1" s="1223"/>
      <c r="J1" s="1223"/>
      <c r="K1" s="1223"/>
    </row>
    <row r="2" spans="1:16" s="22" customFormat="1">
      <c r="A2" s="95" t="s">
        <v>70</v>
      </c>
      <c r="B2" s="1305" t="s">
        <v>87</v>
      </c>
      <c r="C2" s="1306"/>
      <c r="D2" s="1306"/>
      <c r="E2" s="1306"/>
      <c r="F2" s="1307"/>
      <c r="G2" s="1231" t="s">
        <v>88</v>
      </c>
      <c r="H2" s="1232"/>
      <c r="I2" s="1232"/>
      <c r="J2" s="1232"/>
      <c r="K2" s="1233"/>
      <c r="L2" s="1231" t="s">
        <v>89</v>
      </c>
      <c r="M2" s="1232"/>
      <c r="N2" s="1232"/>
      <c r="O2" s="1232"/>
      <c r="P2" s="1233"/>
    </row>
    <row r="3" spans="1:16" s="22" customFormat="1">
      <c r="A3" s="95" t="s">
        <v>231</v>
      </c>
      <c r="B3" s="99" t="s">
        <v>232</v>
      </c>
      <c r="C3" s="99" t="s">
        <v>233</v>
      </c>
      <c r="D3" s="99" t="s">
        <v>234</v>
      </c>
      <c r="E3" s="99" t="s">
        <v>235</v>
      </c>
      <c r="F3" s="99" t="s">
        <v>236</v>
      </c>
      <c r="G3" s="99" t="s">
        <v>232</v>
      </c>
      <c r="H3" s="99" t="s">
        <v>233</v>
      </c>
      <c r="I3" s="99" t="s">
        <v>234</v>
      </c>
      <c r="J3" s="99" t="s">
        <v>235</v>
      </c>
      <c r="K3" s="99" t="s">
        <v>236</v>
      </c>
      <c r="L3" s="99" t="s">
        <v>232</v>
      </c>
      <c r="M3" s="99" t="s">
        <v>233</v>
      </c>
      <c r="N3" s="99" t="s">
        <v>234</v>
      </c>
      <c r="O3" s="99" t="s">
        <v>235</v>
      </c>
      <c r="P3" s="99" t="s">
        <v>236</v>
      </c>
    </row>
    <row r="4" spans="1:16" s="22" customFormat="1">
      <c r="A4" s="1305" t="s">
        <v>237</v>
      </c>
      <c r="B4" s="1308"/>
      <c r="C4" s="1308"/>
      <c r="D4" s="1308"/>
      <c r="E4" s="1308"/>
      <c r="F4" s="1308"/>
      <c r="G4" s="1308"/>
      <c r="H4" s="1308"/>
      <c r="I4" s="1308"/>
      <c r="J4" s="1308"/>
      <c r="K4" s="1308"/>
      <c r="L4" s="1308"/>
      <c r="M4" s="1308"/>
      <c r="N4" s="1308"/>
      <c r="O4" s="1308"/>
      <c r="P4" s="1309"/>
    </row>
    <row r="5" spans="1:16" s="22" customFormat="1">
      <c r="A5" s="297" t="s">
        <v>58</v>
      </c>
      <c r="B5" s="294">
        <v>15.961600000000001</v>
      </c>
      <c r="C5" s="294">
        <v>24.4329</v>
      </c>
      <c r="D5" s="294">
        <v>39.517400000000002</v>
      </c>
      <c r="E5" s="294">
        <v>52.518500000000003</v>
      </c>
      <c r="F5" s="294">
        <v>68.082899999999995</v>
      </c>
      <c r="G5" s="294">
        <v>15.55</v>
      </c>
      <c r="H5" s="294">
        <v>26.32</v>
      </c>
      <c r="I5" s="294">
        <v>45.68</v>
      </c>
      <c r="J5" s="294">
        <v>60.58</v>
      </c>
      <c r="K5" s="294">
        <v>77.92</v>
      </c>
      <c r="L5" s="295">
        <v>97.15</v>
      </c>
      <c r="M5" s="295">
        <v>99.99</v>
      </c>
      <c r="N5" s="295">
        <v>100</v>
      </c>
      <c r="O5" s="295">
        <v>100</v>
      </c>
      <c r="P5" s="295">
        <v>100</v>
      </c>
    </row>
    <row r="6" spans="1:16" s="22" customFormat="1">
      <c r="A6" s="297" t="s">
        <v>61</v>
      </c>
      <c r="B6" s="1152">
        <v>14.542</v>
      </c>
      <c r="C6" s="1152">
        <v>23.866</v>
      </c>
      <c r="D6" s="1152">
        <v>40.591999999999999</v>
      </c>
      <c r="E6" s="1152">
        <v>52.884099999999997</v>
      </c>
      <c r="F6" s="1152">
        <v>68.191000000000003</v>
      </c>
      <c r="G6" s="294">
        <v>16.66</v>
      </c>
      <c r="H6" s="294">
        <v>26.88</v>
      </c>
      <c r="I6" s="294">
        <v>44.47</v>
      </c>
      <c r="J6" s="294">
        <v>59.72</v>
      </c>
      <c r="K6" s="294">
        <v>77.34</v>
      </c>
      <c r="L6" s="295">
        <v>100</v>
      </c>
      <c r="M6" s="295">
        <v>100</v>
      </c>
      <c r="N6" s="295">
        <v>100</v>
      </c>
      <c r="O6" s="295">
        <v>100</v>
      </c>
      <c r="P6" s="295">
        <v>100</v>
      </c>
    </row>
    <row r="7" spans="1:16" s="22" customFormat="1">
      <c r="A7" s="298" t="s">
        <v>60</v>
      </c>
      <c r="B7" s="290">
        <v>18.805700000000002</v>
      </c>
      <c r="C7" s="290">
        <v>29.1358</v>
      </c>
      <c r="D7" s="290">
        <v>45.223100000000002</v>
      </c>
      <c r="E7" s="290">
        <v>60.204700000000003</v>
      </c>
      <c r="F7" s="290">
        <v>76.281199999999998</v>
      </c>
      <c r="G7" s="290">
        <v>21.74</v>
      </c>
      <c r="H7" s="290">
        <v>34.01</v>
      </c>
      <c r="I7" s="290">
        <v>53.29</v>
      </c>
      <c r="J7" s="290">
        <v>68.599999999999994</v>
      </c>
      <c r="K7" s="290">
        <v>84.6</v>
      </c>
      <c r="L7" s="271">
        <v>100</v>
      </c>
      <c r="M7" s="271">
        <v>100</v>
      </c>
      <c r="N7" s="271">
        <v>100</v>
      </c>
      <c r="O7" s="271">
        <v>100</v>
      </c>
      <c r="P7" s="271">
        <v>100</v>
      </c>
    </row>
    <row r="8" spans="1:16" s="22" customFormat="1">
      <c r="A8" s="298" t="s">
        <v>59</v>
      </c>
      <c r="B8" s="290">
        <v>41.5822</v>
      </c>
      <c r="C8" s="290">
        <v>51.138599999999997</v>
      </c>
      <c r="D8" s="290">
        <v>63.966799999999999</v>
      </c>
      <c r="E8" s="290">
        <v>74.109499999999997</v>
      </c>
      <c r="F8" s="290">
        <v>84.837299999999999</v>
      </c>
      <c r="G8" s="290">
        <v>24.02</v>
      </c>
      <c r="H8" s="290">
        <v>36.799999999999997</v>
      </c>
      <c r="I8" s="290">
        <v>53.22</v>
      </c>
      <c r="J8" s="290">
        <v>69.14</v>
      </c>
      <c r="K8" s="290">
        <v>85.35</v>
      </c>
      <c r="L8" s="271">
        <v>0</v>
      </c>
      <c r="M8" s="271">
        <v>0</v>
      </c>
      <c r="N8" s="271">
        <v>0</v>
      </c>
      <c r="O8" s="271">
        <v>0</v>
      </c>
      <c r="P8" s="271">
        <v>0</v>
      </c>
    </row>
    <row r="9" spans="1:16" s="22" customFormat="1">
      <c r="A9" s="298" t="s">
        <v>310</v>
      </c>
      <c r="B9" s="290">
        <v>33.7851</v>
      </c>
      <c r="C9" s="290">
        <v>44.357500000000002</v>
      </c>
      <c r="D9" s="290">
        <v>58.000900000000001</v>
      </c>
      <c r="E9" s="290">
        <v>68.317999999999998</v>
      </c>
      <c r="F9" s="290">
        <v>79.692300000000003</v>
      </c>
      <c r="G9" s="290">
        <v>20.48</v>
      </c>
      <c r="H9" s="290">
        <v>31.24</v>
      </c>
      <c r="I9" s="290">
        <v>49.55</v>
      </c>
      <c r="J9" s="290">
        <v>64.86</v>
      </c>
      <c r="K9" s="290">
        <v>81.069999999999993</v>
      </c>
      <c r="L9" s="271">
        <v>100</v>
      </c>
      <c r="M9" s="271">
        <v>100</v>
      </c>
      <c r="N9" s="271">
        <v>100</v>
      </c>
      <c r="O9" s="271">
        <v>100</v>
      </c>
      <c r="P9" s="271">
        <v>100</v>
      </c>
    </row>
    <row r="10" spans="1:16" s="22" customFormat="1">
      <c r="A10" s="298" t="s">
        <v>356</v>
      </c>
      <c r="B10" s="290">
        <v>18.940300000000001</v>
      </c>
      <c r="C10" s="290">
        <v>27.986699999999999</v>
      </c>
      <c r="D10" s="290">
        <v>43.064300000000003</v>
      </c>
      <c r="E10" s="290">
        <v>56.372599999999998</v>
      </c>
      <c r="F10" s="290">
        <v>70.902100000000004</v>
      </c>
      <c r="G10" s="290">
        <v>24.22</v>
      </c>
      <c r="H10" s="290">
        <v>34.54</v>
      </c>
      <c r="I10" s="290">
        <v>50.06</v>
      </c>
      <c r="J10" s="290">
        <v>65.400000000000006</v>
      </c>
      <c r="K10" s="290">
        <v>80.58</v>
      </c>
      <c r="L10" s="271">
        <v>100</v>
      </c>
      <c r="M10" s="271">
        <v>100</v>
      </c>
      <c r="N10" s="271">
        <v>100</v>
      </c>
      <c r="O10" s="271">
        <v>100</v>
      </c>
      <c r="P10" s="271">
        <v>100</v>
      </c>
    </row>
    <row r="11" spans="1:16" s="22" customFormat="1">
      <c r="A11" s="298" t="s">
        <v>384</v>
      </c>
      <c r="B11" s="290">
        <v>23.159199999999998</v>
      </c>
      <c r="C11" s="290">
        <v>30.7546</v>
      </c>
      <c r="D11" s="290">
        <v>42.8767</v>
      </c>
      <c r="E11" s="290">
        <v>54.628799999999998</v>
      </c>
      <c r="F11" s="290">
        <v>68.464500000000001</v>
      </c>
      <c r="G11" s="290">
        <v>16.95</v>
      </c>
      <c r="H11" s="290">
        <v>26.42</v>
      </c>
      <c r="I11" s="290">
        <v>42.83</v>
      </c>
      <c r="J11" s="290">
        <v>58.74</v>
      </c>
      <c r="K11" s="290">
        <v>75.290000000000006</v>
      </c>
      <c r="L11" s="271">
        <v>100</v>
      </c>
      <c r="M11" s="271">
        <v>100</v>
      </c>
      <c r="N11" s="271">
        <v>100</v>
      </c>
      <c r="O11" s="271">
        <v>100</v>
      </c>
      <c r="P11" s="271">
        <v>100</v>
      </c>
    </row>
    <row r="12" spans="1:16" s="22" customFormat="1">
      <c r="A12" s="299">
        <v>44075</v>
      </c>
      <c r="B12" s="290">
        <v>15.774100000000001</v>
      </c>
      <c r="C12" s="290">
        <v>23.506799999999998</v>
      </c>
      <c r="D12" s="290">
        <v>38.415900000000001</v>
      </c>
      <c r="E12" s="290">
        <v>52.5471</v>
      </c>
      <c r="F12" s="290">
        <v>69.154799999999994</v>
      </c>
      <c r="G12" s="290">
        <v>18.53</v>
      </c>
      <c r="H12" s="290">
        <v>27.89</v>
      </c>
      <c r="I12" s="290">
        <v>46.55</v>
      </c>
      <c r="J12" s="290">
        <v>62.92</v>
      </c>
      <c r="K12" s="290">
        <v>78.819999999999993</v>
      </c>
      <c r="L12" s="271">
        <v>100</v>
      </c>
      <c r="M12" s="271">
        <v>100</v>
      </c>
      <c r="N12" s="271">
        <v>100</v>
      </c>
      <c r="O12" s="271">
        <v>100</v>
      </c>
      <c r="P12" s="271">
        <v>100</v>
      </c>
    </row>
    <row r="13" spans="1:16" s="22" customFormat="1">
      <c r="A13" s="300" t="s">
        <v>392</v>
      </c>
      <c r="B13" s="290">
        <v>15.1569</v>
      </c>
      <c r="C13" s="290">
        <v>24.3018</v>
      </c>
      <c r="D13" s="290">
        <v>42.322899999999997</v>
      </c>
      <c r="E13" s="290">
        <v>56.286900000000003</v>
      </c>
      <c r="F13" s="290">
        <v>72.004099999999994</v>
      </c>
      <c r="G13" s="290">
        <v>17.100000000000001</v>
      </c>
      <c r="H13" s="290">
        <v>27.87</v>
      </c>
      <c r="I13" s="290">
        <v>48.87</v>
      </c>
      <c r="J13" s="290">
        <v>64.83</v>
      </c>
      <c r="K13" s="290">
        <v>81.760000000000005</v>
      </c>
      <c r="L13" s="271">
        <v>100</v>
      </c>
      <c r="M13" s="271">
        <v>100</v>
      </c>
      <c r="N13" s="271">
        <v>100</v>
      </c>
      <c r="O13" s="271">
        <v>100</v>
      </c>
      <c r="P13" s="271">
        <v>100</v>
      </c>
    </row>
    <row r="14" spans="1:16" s="22" customFormat="1">
      <c r="A14" s="301" t="s">
        <v>396</v>
      </c>
      <c r="B14" s="290">
        <v>16.3218</v>
      </c>
      <c r="C14" s="290">
        <v>25.544499999999999</v>
      </c>
      <c r="D14" s="290">
        <v>42.485500000000002</v>
      </c>
      <c r="E14" s="290">
        <v>55.781700000000001</v>
      </c>
      <c r="F14" s="290">
        <v>70.873400000000004</v>
      </c>
      <c r="G14" s="290">
        <v>19.34</v>
      </c>
      <c r="H14" s="290">
        <v>30.94</v>
      </c>
      <c r="I14" s="290">
        <v>47.95</v>
      </c>
      <c r="J14" s="290">
        <v>63.57</v>
      </c>
      <c r="K14" s="290">
        <v>80.61</v>
      </c>
      <c r="L14" s="271">
        <v>100</v>
      </c>
      <c r="M14" s="271">
        <v>100</v>
      </c>
      <c r="N14" s="271">
        <v>100</v>
      </c>
      <c r="O14" s="271">
        <v>100</v>
      </c>
      <c r="P14" s="271">
        <v>100</v>
      </c>
    </row>
    <row r="15" spans="1:16" s="22" customFormat="1">
      <c r="A15" s="299">
        <v>44167</v>
      </c>
      <c r="B15" s="302">
        <v>12.860300000000001</v>
      </c>
      <c r="C15" s="302">
        <v>21.317</v>
      </c>
      <c r="D15" s="302">
        <v>36.921799999999998</v>
      </c>
      <c r="E15" s="302">
        <v>50.889400000000002</v>
      </c>
      <c r="F15" s="302">
        <v>66.055899999999994</v>
      </c>
      <c r="G15" s="290">
        <v>12.13</v>
      </c>
      <c r="H15" s="290">
        <v>20.49</v>
      </c>
      <c r="I15" s="290">
        <v>37.39</v>
      </c>
      <c r="J15" s="290">
        <v>53.7</v>
      </c>
      <c r="K15" s="290">
        <v>73.05</v>
      </c>
      <c r="L15" s="291">
        <v>100</v>
      </c>
      <c r="M15" s="291">
        <v>100</v>
      </c>
      <c r="N15" s="291">
        <v>100</v>
      </c>
      <c r="O15" s="291">
        <v>100</v>
      </c>
      <c r="P15" s="291">
        <v>100</v>
      </c>
    </row>
    <row r="16" spans="1:16" s="22" customFormat="1">
      <c r="A16" s="299">
        <v>44198</v>
      </c>
      <c r="B16" s="302">
        <v>17.7561</v>
      </c>
      <c r="C16" s="302">
        <v>25.215299999999999</v>
      </c>
      <c r="D16" s="302">
        <v>39.310600000000001</v>
      </c>
      <c r="E16" s="302">
        <v>52.866500000000002</v>
      </c>
      <c r="F16" s="302">
        <v>68.464699999999993</v>
      </c>
      <c r="G16" s="290">
        <v>15.97</v>
      </c>
      <c r="H16" s="290">
        <v>24.94</v>
      </c>
      <c r="I16" s="290">
        <v>41.64</v>
      </c>
      <c r="J16" s="290">
        <v>57.77</v>
      </c>
      <c r="K16" s="290">
        <v>76.260000000000005</v>
      </c>
      <c r="L16" s="291">
        <v>100</v>
      </c>
      <c r="M16" s="291">
        <v>100</v>
      </c>
      <c r="N16" s="291">
        <v>100</v>
      </c>
      <c r="O16" s="291">
        <v>100</v>
      </c>
      <c r="P16" s="291">
        <v>100</v>
      </c>
    </row>
    <row r="17" spans="1:16" s="22" customFormat="1">
      <c r="A17" s="299">
        <v>44229</v>
      </c>
      <c r="B17" s="302">
        <v>29.518999999999998</v>
      </c>
      <c r="C17" s="302">
        <v>35.456099999999999</v>
      </c>
      <c r="D17" s="302">
        <v>46.9876</v>
      </c>
      <c r="E17" s="302">
        <v>58.7363</v>
      </c>
      <c r="F17" s="302">
        <v>72.561599999999999</v>
      </c>
      <c r="G17" s="290">
        <v>15.01</v>
      </c>
      <c r="H17" s="290">
        <v>24.52</v>
      </c>
      <c r="I17" s="290">
        <v>40.33</v>
      </c>
      <c r="J17" s="290">
        <v>56.27</v>
      </c>
      <c r="K17" s="290">
        <v>75.19</v>
      </c>
      <c r="L17" s="291">
        <v>100</v>
      </c>
      <c r="M17" s="291">
        <v>100</v>
      </c>
      <c r="N17" s="291">
        <v>100</v>
      </c>
      <c r="O17" s="291">
        <v>100</v>
      </c>
      <c r="P17" s="291">
        <v>100</v>
      </c>
    </row>
    <row r="18" spans="1:16" s="22" customFormat="1">
      <c r="A18" s="1310" t="s">
        <v>238</v>
      </c>
      <c r="B18" s="1311"/>
      <c r="C18" s="1311"/>
      <c r="D18" s="1311"/>
      <c r="E18" s="1311"/>
      <c r="F18" s="1311"/>
      <c r="G18" s="1311"/>
      <c r="H18" s="1311"/>
      <c r="I18" s="1311"/>
      <c r="J18" s="1311"/>
      <c r="K18" s="1311"/>
      <c r="L18" s="1311"/>
      <c r="M18" s="1311"/>
      <c r="N18" s="1311"/>
      <c r="O18" s="1311"/>
      <c r="P18" s="1312"/>
    </row>
    <row r="19" spans="1:16" s="22" customFormat="1">
      <c r="A19" s="292" t="s">
        <v>58</v>
      </c>
      <c r="B19" s="294">
        <v>26.49</v>
      </c>
      <c r="C19" s="294">
        <v>40.159999999999997</v>
      </c>
      <c r="D19" s="294">
        <v>64.55</v>
      </c>
      <c r="E19" s="294">
        <v>76.040000000000006</v>
      </c>
      <c r="F19" s="294">
        <v>85.83</v>
      </c>
      <c r="G19" s="294">
        <v>25.48</v>
      </c>
      <c r="H19" s="294">
        <v>39.020000000000003</v>
      </c>
      <c r="I19" s="294">
        <v>59.55</v>
      </c>
      <c r="J19" s="294">
        <v>75.87</v>
      </c>
      <c r="K19" s="294">
        <v>87.66</v>
      </c>
      <c r="L19" s="295">
        <v>80.36</v>
      </c>
      <c r="M19" s="295">
        <v>100</v>
      </c>
      <c r="N19" s="295">
        <v>100</v>
      </c>
      <c r="O19" s="295">
        <v>100</v>
      </c>
      <c r="P19" s="295">
        <v>100</v>
      </c>
    </row>
    <row r="20" spans="1:16" s="22" customFormat="1">
      <c r="A20" s="292" t="s">
        <v>61</v>
      </c>
      <c r="B20" s="294">
        <v>33.96</v>
      </c>
      <c r="C20" s="294">
        <v>48.94</v>
      </c>
      <c r="D20" s="294">
        <v>69.84</v>
      </c>
      <c r="E20" s="294">
        <v>81.3</v>
      </c>
      <c r="F20" s="294">
        <v>89.84</v>
      </c>
      <c r="G20" s="294">
        <v>30.42</v>
      </c>
      <c r="H20" s="294">
        <v>43.48</v>
      </c>
      <c r="I20" s="294">
        <v>63.2</v>
      </c>
      <c r="J20" s="294">
        <v>78.650000000000006</v>
      </c>
      <c r="K20" s="294">
        <v>89.55</v>
      </c>
      <c r="L20" s="295">
        <v>100</v>
      </c>
      <c r="M20" s="295">
        <v>100</v>
      </c>
      <c r="N20" s="295">
        <v>100</v>
      </c>
      <c r="O20" s="295">
        <v>100</v>
      </c>
      <c r="P20" s="295">
        <v>0</v>
      </c>
    </row>
    <row r="21" spans="1:16" s="22" customFormat="1">
      <c r="A21" s="288" t="s">
        <v>60</v>
      </c>
      <c r="B21" s="290">
        <v>32.94</v>
      </c>
      <c r="C21" s="290">
        <v>49.91</v>
      </c>
      <c r="D21" s="290">
        <v>71.44</v>
      </c>
      <c r="E21" s="290">
        <v>82.7</v>
      </c>
      <c r="F21" s="290">
        <v>91.2</v>
      </c>
      <c r="G21" s="290">
        <v>30.67</v>
      </c>
      <c r="H21" s="290">
        <v>44.88</v>
      </c>
      <c r="I21" s="290">
        <v>65.510000000000005</v>
      </c>
      <c r="J21" s="290">
        <v>80.709999999999994</v>
      </c>
      <c r="K21" s="290">
        <v>90.92</v>
      </c>
      <c r="L21" s="271">
        <v>100</v>
      </c>
      <c r="M21" s="271">
        <v>100</v>
      </c>
      <c r="N21" s="271">
        <v>100</v>
      </c>
      <c r="O21" s="271">
        <v>100</v>
      </c>
      <c r="P21" s="271">
        <v>0</v>
      </c>
    </row>
    <row r="22" spans="1:16" s="22" customFormat="1">
      <c r="A22" s="288" t="s">
        <v>59</v>
      </c>
      <c r="B22" s="290">
        <v>42.92</v>
      </c>
      <c r="C22" s="290">
        <v>56.43</v>
      </c>
      <c r="D22" s="290">
        <v>76.25</v>
      </c>
      <c r="E22" s="290">
        <v>85.01</v>
      </c>
      <c r="F22" s="290">
        <v>91.92</v>
      </c>
      <c r="G22" s="290">
        <v>30.67</v>
      </c>
      <c r="H22" s="290">
        <v>44.2</v>
      </c>
      <c r="I22" s="290">
        <v>64.59</v>
      </c>
      <c r="J22" s="290">
        <v>80.209999999999994</v>
      </c>
      <c r="K22" s="290">
        <v>90.67</v>
      </c>
      <c r="L22" s="271">
        <v>0</v>
      </c>
      <c r="M22" s="271">
        <v>0</v>
      </c>
      <c r="N22" s="271">
        <v>0</v>
      </c>
      <c r="O22" s="271">
        <v>0</v>
      </c>
      <c r="P22" s="271">
        <v>0</v>
      </c>
    </row>
    <row r="23" spans="1:16" s="22" customFormat="1">
      <c r="A23" s="288" t="s">
        <v>310</v>
      </c>
      <c r="B23" s="290">
        <v>45.78</v>
      </c>
      <c r="C23" s="290">
        <v>60.7</v>
      </c>
      <c r="D23" s="290">
        <v>77.42</v>
      </c>
      <c r="E23" s="290">
        <v>85.46</v>
      </c>
      <c r="F23" s="290">
        <v>92.1</v>
      </c>
      <c r="G23" s="290">
        <v>30.73</v>
      </c>
      <c r="H23" s="290">
        <v>45.25</v>
      </c>
      <c r="I23" s="290">
        <v>64.84</v>
      </c>
      <c r="J23" s="290">
        <v>78.89</v>
      </c>
      <c r="K23" s="290">
        <v>89.48</v>
      </c>
      <c r="L23" s="271">
        <v>100</v>
      </c>
      <c r="M23" s="271">
        <v>100</v>
      </c>
      <c r="N23" s="271">
        <v>100</v>
      </c>
      <c r="O23" s="271">
        <v>100</v>
      </c>
      <c r="P23" s="271">
        <v>0</v>
      </c>
    </row>
    <row r="24" spans="1:16" s="22" customFormat="1">
      <c r="A24" s="288" t="s">
        <v>356</v>
      </c>
      <c r="B24" s="290">
        <v>40.35</v>
      </c>
      <c r="C24" s="290">
        <v>55.93</v>
      </c>
      <c r="D24" s="290">
        <v>71.569999999999993</v>
      </c>
      <c r="E24" s="290">
        <v>80.84</v>
      </c>
      <c r="F24" s="290">
        <v>88.93</v>
      </c>
      <c r="G24" s="290">
        <v>32.21</v>
      </c>
      <c r="H24" s="290">
        <v>45.3</v>
      </c>
      <c r="I24" s="290">
        <v>64.28</v>
      </c>
      <c r="J24" s="290">
        <v>77.55</v>
      </c>
      <c r="K24" s="290">
        <v>88.45</v>
      </c>
      <c r="L24" s="271">
        <v>100</v>
      </c>
      <c r="M24" s="271">
        <v>100</v>
      </c>
      <c r="N24" s="271">
        <v>100</v>
      </c>
      <c r="O24" s="271">
        <v>100</v>
      </c>
      <c r="P24" s="271">
        <v>0</v>
      </c>
    </row>
    <row r="25" spans="1:16" s="22" customFormat="1">
      <c r="A25" s="288" t="s">
        <v>384</v>
      </c>
      <c r="B25" s="290">
        <v>32.85</v>
      </c>
      <c r="C25" s="290">
        <v>46.38</v>
      </c>
      <c r="D25" s="290">
        <v>68.19</v>
      </c>
      <c r="E25" s="290">
        <v>79.760000000000005</v>
      </c>
      <c r="F25" s="290">
        <v>88.9</v>
      </c>
      <c r="G25" s="290">
        <v>31.57</v>
      </c>
      <c r="H25" s="290">
        <v>44.29</v>
      </c>
      <c r="I25" s="290">
        <v>63.23</v>
      </c>
      <c r="J25" s="290">
        <v>77.44</v>
      </c>
      <c r="K25" s="290">
        <v>88.4</v>
      </c>
      <c r="L25" s="271">
        <v>100</v>
      </c>
      <c r="M25" s="271">
        <v>100</v>
      </c>
      <c r="N25" s="271">
        <v>100</v>
      </c>
      <c r="O25" s="271">
        <v>100</v>
      </c>
      <c r="P25" s="271">
        <v>0</v>
      </c>
    </row>
    <row r="26" spans="1:16" s="22" customFormat="1">
      <c r="A26" s="289">
        <v>44075</v>
      </c>
      <c r="B26" s="290">
        <v>35.65</v>
      </c>
      <c r="C26" s="290">
        <v>50.01</v>
      </c>
      <c r="D26" s="290">
        <v>70.849999999999994</v>
      </c>
      <c r="E26" s="290">
        <v>81.849999999999994</v>
      </c>
      <c r="F26" s="290">
        <v>90.23</v>
      </c>
      <c r="G26" s="290">
        <v>31.67</v>
      </c>
      <c r="H26" s="290">
        <v>45.84</v>
      </c>
      <c r="I26" s="290">
        <v>65.91</v>
      </c>
      <c r="J26" s="290">
        <v>79.739999999999995</v>
      </c>
      <c r="K26" s="290">
        <v>89.92</v>
      </c>
      <c r="L26" s="271">
        <v>100</v>
      </c>
      <c r="M26" s="271">
        <v>100</v>
      </c>
      <c r="N26" s="271">
        <v>100</v>
      </c>
      <c r="O26" s="271">
        <v>100</v>
      </c>
      <c r="P26" s="271">
        <v>0</v>
      </c>
    </row>
    <row r="27" spans="1:16" s="22" customFormat="1">
      <c r="A27" s="293" t="s">
        <v>392</v>
      </c>
      <c r="B27" s="290">
        <v>39.700000000000003</v>
      </c>
      <c r="C27" s="290">
        <v>53.61</v>
      </c>
      <c r="D27" s="290">
        <v>71.06</v>
      </c>
      <c r="E27" s="290">
        <v>80.39</v>
      </c>
      <c r="F27" s="290">
        <v>88.93</v>
      </c>
      <c r="G27" s="290">
        <v>31.18</v>
      </c>
      <c r="H27" s="290">
        <v>45.15</v>
      </c>
      <c r="I27" s="290">
        <v>64.98</v>
      </c>
      <c r="J27" s="290">
        <v>79.849999999999994</v>
      </c>
      <c r="K27" s="290">
        <v>90.41</v>
      </c>
      <c r="L27" s="271">
        <v>100</v>
      </c>
      <c r="M27" s="271">
        <v>100</v>
      </c>
      <c r="N27" s="271">
        <v>100</v>
      </c>
      <c r="O27" s="271">
        <v>100</v>
      </c>
      <c r="P27" s="271">
        <v>0</v>
      </c>
    </row>
    <row r="28" spans="1:16" s="22" customFormat="1">
      <c r="A28" s="293">
        <v>44136</v>
      </c>
      <c r="B28" s="290">
        <v>39.72</v>
      </c>
      <c r="C28" s="290">
        <v>55.55</v>
      </c>
      <c r="D28" s="290">
        <v>72.06</v>
      </c>
      <c r="E28" s="290">
        <v>82.1</v>
      </c>
      <c r="F28" s="290">
        <v>89.91</v>
      </c>
      <c r="G28" s="290">
        <v>29.09</v>
      </c>
      <c r="H28" s="290">
        <v>41.81</v>
      </c>
      <c r="I28" s="290">
        <v>64.64</v>
      </c>
      <c r="J28" s="290">
        <v>80.41</v>
      </c>
      <c r="K28" s="290">
        <v>90.7</v>
      </c>
      <c r="L28" s="296">
        <v>100</v>
      </c>
      <c r="M28" s="296">
        <v>100</v>
      </c>
      <c r="N28" s="296">
        <v>100</v>
      </c>
      <c r="O28" s="296">
        <v>100</v>
      </c>
      <c r="P28" s="271">
        <v>0</v>
      </c>
    </row>
    <row r="29" spans="1:16" s="22" customFormat="1">
      <c r="A29" s="293">
        <v>44167</v>
      </c>
      <c r="B29" s="290">
        <v>34.65</v>
      </c>
      <c r="C29" s="290">
        <v>50.26</v>
      </c>
      <c r="D29" s="290">
        <v>71.290000000000006</v>
      </c>
      <c r="E29" s="290">
        <v>82.75</v>
      </c>
      <c r="F29" s="290">
        <v>90.35</v>
      </c>
      <c r="G29" s="290">
        <v>30.52</v>
      </c>
      <c r="H29" s="290">
        <v>43.76</v>
      </c>
      <c r="I29" s="290">
        <v>63.49</v>
      </c>
      <c r="J29" s="290">
        <v>78.3</v>
      </c>
      <c r="K29" s="290">
        <v>89.35</v>
      </c>
      <c r="L29" s="287">
        <v>100</v>
      </c>
      <c r="M29" s="287">
        <v>100</v>
      </c>
      <c r="N29" s="287">
        <v>100</v>
      </c>
      <c r="O29" s="287">
        <v>100</v>
      </c>
      <c r="P29" s="271">
        <v>0</v>
      </c>
    </row>
    <row r="30" spans="1:16" s="22" customFormat="1">
      <c r="A30" s="293">
        <v>44198</v>
      </c>
      <c r="B30" s="290">
        <v>38.44</v>
      </c>
      <c r="C30" s="290">
        <v>54.48</v>
      </c>
      <c r="D30" s="290">
        <v>75.790000000000006</v>
      </c>
      <c r="E30" s="290">
        <v>86.46</v>
      </c>
      <c r="F30" s="290">
        <v>92.76</v>
      </c>
      <c r="G30" s="290">
        <v>30.43</v>
      </c>
      <c r="H30" s="290">
        <v>44.29</v>
      </c>
      <c r="I30" s="290">
        <v>64.58</v>
      </c>
      <c r="J30" s="290">
        <v>79.150000000000006</v>
      </c>
      <c r="K30" s="290">
        <v>89.98</v>
      </c>
      <c r="L30" s="287">
        <v>100</v>
      </c>
      <c r="M30" s="287">
        <v>100</v>
      </c>
      <c r="N30" s="287">
        <v>100</v>
      </c>
      <c r="O30" s="287">
        <v>100</v>
      </c>
      <c r="P30" s="271">
        <v>0</v>
      </c>
    </row>
    <row r="31" spans="1:16" s="22" customFormat="1">
      <c r="A31" s="293">
        <v>44229</v>
      </c>
      <c r="B31" s="290">
        <v>50.06</v>
      </c>
      <c r="C31" s="290">
        <v>64.73</v>
      </c>
      <c r="D31" s="290">
        <v>78.87</v>
      </c>
      <c r="E31" s="290">
        <v>86.59</v>
      </c>
      <c r="F31" s="290">
        <v>92.34</v>
      </c>
      <c r="G31" s="290">
        <v>31.03</v>
      </c>
      <c r="H31" s="290">
        <v>45.02</v>
      </c>
      <c r="I31" s="290">
        <v>63.51</v>
      </c>
      <c r="J31" s="290">
        <v>79.06</v>
      </c>
      <c r="K31" s="290">
        <v>90</v>
      </c>
      <c r="L31" s="287">
        <v>100</v>
      </c>
      <c r="M31" s="287">
        <v>100</v>
      </c>
      <c r="N31" s="287">
        <v>100</v>
      </c>
      <c r="O31" s="287">
        <v>100</v>
      </c>
      <c r="P31" s="271">
        <v>0</v>
      </c>
    </row>
    <row r="32" spans="1:16" s="22" customFormat="1" ht="15" customHeight="1">
      <c r="A32" s="1313" t="s">
        <v>499</v>
      </c>
      <c r="B32" s="1313"/>
      <c r="C32" s="1313"/>
      <c r="D32" s="1313"/>
      <c r="E32" s="1313"/>
      <c r="F32" s="1313"/>
      <c r="G32" s="1313"/>
      <c r="H32" s="1313"/>
      <c r="I32" s="1313"/>
      <c r="J32" s="1313"/>
      <c r="K32" s="1313"/>
      <c r="L32" s="24"/>
      <c r="N32" s="24"/>
      <c r="O32" s="24"/>
      <c r="P32" s="24"/>
    </row>
    <row r="33" spans="1:16" s="22" customFormat="1" ht="15" customHeight="1">
      <c r="A33" s="1215" t="s">
        <v>1175</v>
      </c>
      <c r="B33" s="1215"/>
      <c r="C33" s="1215"/>
      <c r="D33" s="1215"/>
      <c r="E33" s="1215"/>
      <c r="F33" s="1215"/>
      <c r="G33" s="1215"/>
      <c r="H33" s="1215"/>
      <c r="I33" s="1215"/>
      <c r="J33" s="1215"/>
      <c r="K33" s="1215"/>
      <c r="L33" s="24"/>
      <c r="N33" s="24"/>
      <c r="O33" s="24"/>
      <c r="P33" s="24"/>
    </row>
    <row r="34" spans="1:16" ht="15" customHeight="1">
      <c r="A34" s="1215" t="s">
        <v>82</v>
      </c>
      <c r="B34" s="1215"/>
      <c r="C34" s="1215"/>
      <c r="D34" s="1215"/>
      <c r="E34" s="1215"/>
      <c r="F34" s="1215"/>
      <c r="G34" s="1215"/>
      <c r="H34" s="1215"/>
      <c r="I34" s="1215"/>
      <c r="J34" s="1215"/>
      <c r="K34" s="1215"/>
      <c r="L34" s="24"/>
      <c r="M34" s="22"/>
      <c r="N34" s="24"/>
      <c r="O34" s="24"/>
      <c r="P34" s="24"/>
    </row>
  </sheetData>
  <mergeCells count="9">
    <mergeCell ref="A34:K34"/>
    <mergeCell ref="A1:K1"/>
    <mergeCell ref="B2:F2"/>
    <mergeCell ref="G2:K2"/>
    <mergeCell ref="L2:P2"/>
    <mergeCell ref="A4:P4"/>
    <mergeCell ref="A18:P18"/>
    <mergeCell ref="A32:K32"/>
    <mergeCell ref="A33:K3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19"/>
  <sheetViews>
    <sheetView zoomScale="85" zoomScaleNormal="85" workbookViewId="0">
      <selection activeCell="N29" sqref="N29"/>
    </sheetView>
  </sheetViews>
  <sheetFormatPr defaultColWidth="8.85546875" defaultRowHeight="15"/>
  <cols>
    <col min="1" max="1" width="14.7109375" style="21" bestFit="1" customWidth="1"/>
    <col min="2" max="3" width="11" style="21" customWidth="1"/>
    <col min="4" max="4" width="12" style="21" bestFit="1" customWidth="1"/>
    <col min="5" max="8" width="11" style="21" customWidth="1"/>
    <col min="9" max="9" width="15.28515625" style="21" bestFit="1" customWidth="1"/>
    <col min="10" max="13" width="11" style="21" customWidth="1"/>
    <col min="14" max="17" width="10.85546875" style="21" customWidth="1"/>
    <col min="18" max="16384" width="8.85546875" style="21"/>
  </cols>
  <sheetData>
    <row r="1" spans="1:27" ht="13.5" customHeight="1">
      <c r="A1" s="1223" t="s">
        <v>502</v>
      </c>
      <c r="B1" s="1223"/>
      <c r="C1" s="1223"/>
      <c r="D1" s="1223"/>
      <c r="E1" s="1223"/>
      <c r="F1" s="1223"/>
      <c r="G1" s="1223"/>
      <c r="H1" s="1223"/>
      <c r="I1" s="1223"/>
    </row>
    <row r="2" spans="1:27" s="22" customFormat="1" ht="88.5" customHeight="1">
      <c r="A2" s="398" t="s">
        <v>503</v>
      </c>
      <c r="B2" s="398" t="s">
        <v>504</v>
      </c>
      <c r="C2" s="398" t="s">
        <v>505</v>
      </c>
      <c r="D2" s="398" t="s">
        <v>506</v>
      </c>
      <c r="E2" s="398" t="s">
        <v>507</v>
      </c>
      <c r="F2" s="398" t="s">
        <v>124</v>
      </c>
      <c r="G2" s="398" t="s">
        <v>508</v>
      </c>
      <c r="H2" s="398" t="s">
        <v>509</v>
      </c>
      <c r="I2" s="398" t="s">
        <v>510</v>
      </c>
      <c r="J2" s="398" t="s">
        <v>511</v>
      </c>
      <c r="K2" s="398" t="s">
        <v>512</v>
      </c>
      <c r="L2" s="398" t="s">
        <v>513</v>
      </c>
      <c r="M2" s="398" t="s">
        <v>514</v>
      </c>
      <c r="N2" s="398" t="s">
        <v>515</v>
      </c>
      <c r="O2" s="398" t="s">
        <v>516</v>
      </c>
      <c r="P2" s="398" t="s">
        <v>517</v>
      </c>
      <c r="Q2" s="398" t="s">
        <v>518</v>
      </c>
    </row>
    <row r="3" spans="1:27" s="23" customFormat="1" ht="18" customHeight="1">
      <c r="A3" s="399" t="s">
        <v>58</v>
      </c>
      <c r="B3" s="400">
        <v>3210.1607600000002</v>
      </c>
      <c r="C3" s="401">
        <v>555304</v>
      </c>
      <c r="D3" s="401">
        <v>204312.50842</v>
      </c>
      <c r="E3" s="402">
        <f>D3/C3*100</f>
        <v>36.792911345857405</v>
      </c>
      <c r="F3" s="401">
        <v>672464.22</v>
      </c>
      <c r="G3" s="401">
        <v>193663.12298489001</v>
      </c>
      <c r="H3" s="402">
        <f>G3/F3*100</f>
        <v>28.79902264315119</v>
      </c>
      <c r="I3" s="401">
        <v>171221.4999</v>
      </c>
      <c r="J3" s="403">
        <f>I3/D3*100</f>
        <v>83.803728525531255</v>
      </c>
      <c r="K3" s="401">
        <v>193243.43338827</v>
      </c>
      <c r="L3" s="404">
        <f>K3/G3*100</f>
        <v>99.78328884190681</v>
      </c>
      <c r="M3" s="405">
        <v>369.15190000000001</v>
      </c>
      <c r="N3" s="406">
        <f>M3/D3*100</f>
        <v>0.18068002926240026</v>
      </c>
      <c r="O3" s="405">
        <v>61952.6980559</v>
      </c>
      <c r="P3" s="401">
        <v>193935.17293415</v>
      </c>
      <c r="Q3" s="405">
        <v>223.1</v>
      </c>
      <c r="R3" s="407"/>
      <c r="S3" s="407"/>
      <c r="T3" s="407"/>
      <c r="U3" s="407"/>
      <c r="V3" s="407"/>
      <c r="W3" s="407"/>
      <c r="X3" s="407"/>
      <c r="Y3" s="407"/>
      <c r="Z3" s="408"/>
      <c r="AA3" s="408"/>
    </row>
    <row r="4" spans="1:27" s="22" customFormat="1" ht="18" customHeight="1">
      <c r="A4" s="399" t="s">
        <v>61</v>
      </c>
      <c r="B4" s="400">
        <v>4941.2999999999993</v>
      </c>
      <c r="C4" s="400">
        <v>936156.6</v>
      </c>
      <c r="D4" s="400">
        <v>260961.61367999998</v>
      </c>
      <c r="E4" s="402">
        <v>27.875850437843408</v>
      </c>
      <c r="F4" s="400">
        <v>930404</v>
      </c>
      <c r="G4" s="400">
        <v>251834.70063616501</v>
      </c>
      <c r="H4" s="402">
        <v>27.067241825719258</v>
      </c>
      <c r="I4" s="400">
        <v>490862.12019999995</v>
      </c>
      <c r="J4" s="403">
        <v>188.09744210192991</v>
      </c>
      <c r="K4" s="400">
        <v>251834.70063616501</v>
      </c>
      <c r="L4" s="404">
        <v>100</v>
      </c>
      <c r="M4" s="400">
        <v>588.71540000000005</v>
      </c>
      <c r="N4" s="406">
        <v>0.22559463504923868</v>
      </c>
      <c r="O4" s="400">
        <v>54544</v>
      </c>
      <c r="P4" s="400">
        <v>252126</v>
      </c>
      <c r="Q4" s="405">
        <v>278.11</v>
      </c>
      <c r="R4" s="407"/>
      <c r="S4" s="407"/>
      <c r="T4" s="407"/>
      <c r="U4" s="407"/>
      <c r="V4" s="407"/>
      <c r="W4" s="407"/>
      <c r="X4" s="407"/>
      <c r="Y4" s="407"/>
      <c r="Z4" s="408"/>
      <c r="AA4" s="408"/>
    </row>
    <row r="5" spans="1:27" s="22" customFormat="1" ht="18" customHeight="1">
      <c r="A5" s="409" t="s">
        <v>60</v>
      </c>
      <c r="B5" s="410">
        <v>339</v>
      </c>
      <c r="C5" s="411">
        <v>37309</v>
      </c>
      <c r="D5" s="411">
        <v>11926.5</v>
      </c>
      <c r="E5" s="412">
        <f t="shared" ref="E5:E12" si="0">D5/C5*100</f>
        <v>31.966817657937764</v>
      </c>
      <c r="F5" s="411">
        <v>44040</v>
      </c>
      <c r="G5" s="411">
        <v>13145</v>
      </c>
      <c r="H5" s="412">
        <f t="shared" ref="H5:H12" si="1">G5/F5*100</f>
        <v>29.847865576748411</v>
      </c>
      <c r="I5" s="411">
        <v>11926.5</v>
      </c>
      <c r="J5" s="413">
        <f t="shared" ref="J5:J12" si="2">I5/D5*100</f>
        <v>100</v>
      </c>
      <c r="K5" s="411">
        <v>13145</v>
      </c>
      <c r="L5" s="414">
        <f t="shared" ref="L5:L12" si="3">K5/G5*100</f>
        <v>100</v>
      </c>
      <c r="M5" s="411">
        <v>30.3</v>
      </c>
      <c r="N5" s="415">
        <f t="shared" ref="N5:N12" si="4">M5/D5*100</f>
        <v>0.25405609357313547</v>
      </c>
      <c r="O5" s="411">
        <v>3609</v>
      </c>
      <c r="P5" s="411">
        <v>13162</v>
      </c>
      <c r="Q5" s="411">
        <v>224.38</v>
      </c>
      <c r="R5" s="407"/>
      <c r="S5" s="407"/>
      <c r="T5" s="407"/>
      <c r="U5" s="407"/>
      <c r="V5" s="407"/>
      <c r="W5" s="407"/>
      <c r="X5" s="407"/>
      <c r="Y5" s="407"/>
      <c r="Z5" s="408"/>
      <c r="AA5" s="408"/>
    </row>
    <row r="6" spans="1:27" s="22" customFormat="1" ht="18" customHeight="1">
      <c r="A6" s="409" t="s">
        <v>59</v>
      </c>
      <c r="B6" s="410">
        <v>316.2</v>
      </c>
      <c r="C6" s="411">
        <v>46869</v>
      </c>
      <c r="D6" s="411">
        <v>14976.3</v>
      </c>
      <c r="E6" s="412">
        <f t="shared" si="0"/>
        <v>31.953530051846634</v>
      </c>
      <c r="F6" s="411">
        <v>63127</v>
      </c>
      <c r="G6" s="411">
        <v>14218</v>
      </c>
      <c r="H6" s="412">
        <f t="shared" si="1"/>
        <v>22.522850761164005</v>
      </c>
      <c r="I6" s="411">
        <v>14976.3</v>
      </c>
      <c r="J6" s="413">
        <f t="shared" si="2"/>
        <v>100</v>
      </c>
      <c r="K6" s="411">
        <v>14218</v>
      </c>
      <c r="L6" s="414">
        <f t="shared" si="3"/>
        <v>100</v>
      </c>
      <c r="M6" s="411">
        <v>30.3</v>
      </c>
      <c r="N6" s="415">
        <f t="shared" si="4"/>
        <v>0.20231966507081189</v>
      </c>
      <c r="O6" s="411">
        <v>4598</v>
      </c>
      <c r="P6" s="411">
        <v>14230</v>
      </c>
      <c r="Q6" s="411">
        <v>225.71</v>
      </c>
      <c r="R6" s="407"/>
      <c r="S6" s="407"/>
      <c r="T6" s="407"/>
      <c r="U6" s="407"/>
      <c r="V6" s="407"/>
      <c r="W6" s="407"/>
      <c r="X6" s="407"/>
      <c r="Y6" s="407"/>
      <c r="Z6" s="408"/>
      <c r="AA6" s="408"/>
    </row>
    <row r="7" spans="1:27" s="22" customFormat="1" ht="18" customHeight="1">
      <c r="A7" s="409" t="s">
        <v>310</v>
      </c>
      <c r="B7" s="410">
        <v>543.20000000000005</v>
      </c>
      <c r="C7" s="411">
        <v>108007.6</v>
      </c>
      <c r="D7" s="411">
        <v>28084.9</v>
      </c>
      <c r="E7" s="412">
        <f t="shared" si="0"/>
        <v>26.002707216899552</v>
      </c>
      <c r="F7" s="411">
        <v>109738</v>
      </c>
      <c r="G7" s="411">
        <v>22839</v>
      </c>
      <c r="H7" s="412">
        <f t="shared" si="1"/>
        <v>20.812298383422334</v>
      </c>
      <c r="I7" s="411">
        <v>28084.9</v>
      </c>
      <c r="J7" s="413">
        <f t="shared" si="2"/>
        <v>100</v>
      </c>
      <c r="K7" s="411">
        <v>22839</v>
      </c>
      <c r="L7" s="414">
        <f t="shared" si="3"/>
        <v>100</v>
      </c>
      <c r="M7" s="411">
        <v>59.4</v>
      </c>
      <c r="N7" s="415">
        <f t="shared" si="4"/>
        <v>0.21150155421596656</v>
      </c>
      <c r="O7" s="411">
        <v>5227</v>
      </c>
      <c r="P7" s="411">
        <v>22864</v>
      </c>
      <c r="Q7" s="411">
        <v>227.04</v>
      </c>
      <c r="R7" s="416"/>
      <c r="T7" s="407"/>
      <c r="U7" s="407"/>
      <c r="V7" s="407"/>
      <c r="W7" s="407"/>
      <c r="X7" s="407"/>
      <c r="Y7" s="407"/>
      <c r="Z7" s="408"/>
      <c r="AA7" s="408"/>
    </row>
    <row r="8" spans="1:27" s="22" customFormat="1" ht="18" customHeight="1">
      <c r="A8" s="409" t="s">
        <v>356</v>
      </c>
      <c r="B8" s="410">
        <v>518.29999999999995</v>
      </c>
      <c r="C8" s="417">
        <v>100445</v>
      </c>
      <c r="D8" s="411">
        <v>30648.58</v>
      </c>
      <c r="E8" s="412">
        <f t="shared" si="0"/>
        <v>30.512798048683358</v>
      </c>
      <c r="F8" s="411">
        <v>80053</v>
      </c>
      <c r="G8" s="411">
        <v>23567</v>
      </c>
      <c r="H8" s="412">
        <f t="shared" si="1"/>
        <v>29.439246499194283</v>
      </c>
      <c r="I8" s="411">
        <v>30648.6</v>
      </c>
      <c r="J8" s="413">
        <f t="shared" si="2"/>
        <v>100.00006525587808</v>
      </c>
      <c r="K8" s="411">
        <v>23567</v>
      </c>
      <c r="L8" s="414">
        <f t="shared" si="3"/>
        <v>100</v>
      </c>
      <c r="M8" s="411">
        <v>134.4</v>
      </c>
      <c r="N8" s="415">
        <f t="shared" si="4"/>
        <v>0.43851950074032792</v>
      </c>
      <c r="O8" s="411">
        <v>4656</v>
      </c>
      <c r="P8" s="411">
        <v>23596</v>
      </c>
      <c r="Q8" s="411">
        <v>228.38</v>
      </c>
      <c r="R8" s="407"/>
      <c r="S8" s="407"/>
      <c r="T8" s="407"/>
      <c r="U8" s="407"/>
      <c r="V8" s="407"/>
      <c r="W8" s="407"/>
      <c r="X8" s="407"/>
      <c r="Y8" s="407"/>
      <c r="Z8" s="408"/>
      <c r="AA8" s="408"/>
    </row>
    <row r="9" spans="1:27" s="22" customFormat="1" ht="18" customHeight="1">
      <c r="A9" s="409" t="s">
        <v>384</v>
      </c>
      <c r="B9" s="410">
        <v>471.9</v>
      </c>
      <c r="C9" s="411">
        <v>93649</v>
      </c>
      <c r="D9" s="411">
        <v>27994.7</v>
      </c>
      <c r="E9" s="412">
        <f t="shared" si="0"/>
        <v>29.893218293841901</v>
      </c>
      <c r="F9" s="411">
        <v>90938</v>
      </c>
      <c r="G9" s="411">
        <v>25780</v>
      </c>
      <c r="H9" s="412">
        <f t="shared" si="1"/>
        <v>28.348985022762761</v>
      </c>
      <c r="I9" s="411">
        <v>27994.7</v>
      </c>
      <c r="J9" s="413">
        <f t="shared" si="2"/>
        <v>100</v>
      </c>
      <c r="K9" s="411">
        <v>25780</v>
      </c>
      <c r="L9" s="414">
        <f t="shared" si="3"/>
        <v>100</v>
      </c>
      <c r="M9" s="411">
        <v>45.8</v>
      </c>
      <c r="N9" s="415">
        <f t="shared" si="4"/>
        <v>0.16360239616784605</v>
      </c>
      <c r="O9" s="411">
        <v>4505</v>
      </c>
      <c r="P9" s="411">
        <v>25812</v>
      </c>
      <c r="Q9" s="411">
        <v>229.69</v>
      </c>
      <c r="R9" s="407"/>
      <c r="S9" s="407"/>
      <c r="T9" s="407"/>
      <c r="U9" s="407"/>
      <c r="V9" s="407"/>
      <c r="W9" s="407"/>
      <c r="X9" s="407"/>
      <c r="Y9" s="407"/>
      <c r="Z9" s="408"/>
      <c r="AA9" s="408"/>
    </row>
    <row r="10" spans="1:27" s="22" customFormat="1" ht="18" customHeight="1">
      <c r="A10" s="420">
        <v>44075</v>
      </c>
      <c r="B10" s="410">
        <v>427.4</v>
      </c>
      <c r="C10" s="411">
        <v>87230</v>
      </c>
      <c r="D10" s="411">
        <v>20728.811379999999</v>
      </c>
      <c r="E10" s="412">
        <f t="shared" si="0"/>
        <v>23.763397202797201</v>
      </c>
      <c r="F10" s="411">
        <v>73748</v>
      </c>
      <c r="G10" s="411">
        <v>21778.314419999999</v>
      </c>
      <c r="H10" s="412">
        <f t="shared" si="1"/>
        <v>29.530718690676355</v>
      </c>
      <c r="I10" s="411">
        <v>20728.811379999999</v>
      </c>
      <c r="J10" s="413">
        <f t="shared" si="2"/>
        <v>100</v>
      </c>
      <c r="K10" s="411">
        <v>21778.314419999999</v>
      </c>
      <c r="L10" s="414">
        <f t="shared" si="3"/>
        <v>100</v>
      </c>
      <c r="M10" s="411">
        <v>31.470330000000001</v>
      </c>
      <c r="N10" s="415">
        <f t="shared" si="4"/>
        <v>0.15181926943656721</v>
      </c>
      <c r="O10" s="411">
        <v>4968</v>
      </c>
      <c r="P10" s="411">
        <v>21819</v>
      </c>
      <c r="Q10" s="411">
        <v>231.16</v>
      </c>
      <c r="R10" s="407"/>
      <c r="S10" s="407"/>
      <c r="T10" s="407"/>
      <c r="U10" s="407"/>
      <c r="V10" s="407"/>
      <c r="W10" s="407"/>
      <c r="X10" s="407"/>
      <c r="Y10" s="407"/>
      <c r="Z10" s="408"/>
      <c r="AA10" s="408"/>
    </row>
    <row r="11" spans="1:27" s="22" customFormat="1" ht="18" customHeight="1">
      <c r="A11" s="420" t="s">
        <v>392</v>
      </c>
      <c r="B11" s="410">
        <v>343.2</v>
      </c>
      <c r="C11" s="411">
        <v>52086</v>
      </c>
      <c r="D11" s="411">
        <v>14433.4</v>
      </c>
      <c r="E11" s="412">
        <f t="shared" si="0"/>
        <v>27.710709211688361</v>
      </c>
      <c r="F11" s="411">
        <v>54904</v>
      </c>
      <c r="G11" s="411">
        <v>16803</v>
      </c>
      <c r="H11" s="412">
        <f t="shared" si="1"/>
        <v>30.604327553548011</v>
      </c>
      <c r="I11" s="411">
        <v>14433.4</v>
      </c>
      <c r="J11" s="413">
        <f t="shared" si="2"/>
        <v>100</v>
      </c>
      <c r="K11" s="411">
        <v>16803</v>
      </c>
      <c r="L11" s="414">
        <f t="shared" si="3"/>
        <v>100</v>
      </c>
      <c r="M11" s="411">
        <v>43.9</v>
      </c>
      <c r="N11" s="415">
        <f t="shared" si="4"/>
        <v>0.30415563900397685</v>
      </c>
      <c r="O11" s="411">
        <v>3490</v>
      </c>
      <c r="P11" s="411">
        <v>16828</v>
      </c>
      <c r="Q11" s="411">
        <v>232.51</v>
      </c>
      <c r="R11" s="407"/>
      <c r="S11" s="407"/>
      <c r="T11" s="407"/>
      <c r="U11" s="407"/>
      <c r="V11" s="407"/>
      <c r="W11" s="407"/>
      <c r="X11" s="407"/>
      <c r="Y11" s="407"/>
      <c r="Z11" s="408"/>
      <c r="AA11" s="408"/>
    </row>
    <row r="12" spans="1:27" s="22" customFormat="1" ht="18" customHeight="1">
      <c r="A12" s="409" t="s">
        <v>396</v>
      </c>
      <c r="B12" s="410">
        <v>420.5</v>
      </c>
      <c r="C12" s="411">
        <v>68345</v>
      </c>
      <c r="D12" s="411">
        <v>22014.513480000001</v>
      </c>
      <c r="E12" s="412">
        <f t="shared" si="0"/>
        <v>32.21086177481893</v>
      </c>
      <c r="F12" s="411">
        <v>72270</v>
      </c>
      <c r="G12" s="411">
        <v>21942</v>
      </c>
      <c r="H12" s="412">
        <f t="shared" si="1"/>
        <v>30.361145703611459</v>
      </c>
      <c r="I12" s="411">
        <v>22014.5</v>
      </c>
      <c r="J12" s="413">
        <f t="shared" si="2"/>
        <v>99.999938767667913</v>
      </c>
      <c r="K12" s="411">
        <v>21942</v>
      </c>
      <c r="L12" s="414">
        <f t="shared" si="3"/>
        <v>100</v>
      </c>
      <c r="M12" s="411">
        <v>28.5</v>
      </c>
      <c r="N12" s="415">
        <f t="shared" si="4"/>
        <v>0.12946004928018057</v>
      </c>
      <c r="O12" s="411">
        <v>5118</v>
      </c>
      <c r="P12" s="411">
        <v>21961</v>
      </c>
      <c r="Q12" s="411">
        <v>233.9</v>
      </c>
      <c r="R12" s="407"/>
      <c r="S12" s="407"/>
      <c r="T12" s="407"/>
      <c r="U12" s="407"/>
      <c r="V12" s="407"/>
      <c r="W12" s="407"/>
      <c r="X12" s="407"/>
      <c r="Y12" s="407"/>
      <c r="Z12" s="408"/>
      <c r="AA12" s="408"/>
    </row>
    <row r="13" spans="1:27" s="22" customFormat="1" ht="18" customHeight="1">
      <c r="A13" s="409">
        <v>44166</v>
      </c>
      <c r="B13" s="410">
        <v>542</v>
      </c>
      <c r="C13" s="411">
        <v>126482</v>
      </c>
      <c r="D13" s="411">
        <v>33298.008820000003</v>
      </c>
      <c r="E13" s="412">
        <v>26.326282648914471</v>
      </c>
      <c r="F13" s="411">
        <v>98172</v>
      </c>
      <c r="G13" s="411">
        <v>28492.386217860007</v>
      </c>
      <c r="H13" s="412">
        <v>29.02292529220145</v>
      </c>
      <c r="I13" s="411">
        <v>33298.008820000003</v>
      </c>
      <c r="J13" s="413">
        <v>100</v>
      </c>
      <c r="K13" s="411">
        <v>28492.386217860007</v>
      </c>
      <c r="L13" s="414">
        <v>100</v>
      </c>
      <c r="M13" s="411">
        <v>46.645070000000004</v>
      </c>
      <c r="N13" s="415">
        <v>0.14008366161517521</v>
      </c>
      <c r="O13" s="411">
        <v>5447</v>
      </c>
      <c r="P13" s="411">
        <v>28517</v>
      </c>
      <c r="Q13" s="411">
        <v>235.32</v>
      </c>
      <c r="R13" s="407"/>
      <c r="S13" s="407"/>
      <c r="T13" s="407"/>
      <c r="U13" s="407"/>
      <c r="V13" s="407"/>
      <c r="W13" s="407"/>
      <c r="X13" s="407"/>
      <c r="Y13" s="407"/>
      <c r="Z13" s="408"/>
      <c r="AA13" s="408"/>
    </row>
    <row r="14" spans="1:27" s="22" customFormat="1" ht="18" customHeight="1">
      <c r="A14" s="409">
        <v>44197</v>
      </c>
      <c r="B14" s="410">
        <v>502.2</v>
      </c>
      <c r="C14" s="411">
        <v>117818</v>
      </c>
      <c r="D14" s="411">
        <v>31311.4</v>
      </c>
      <c r="E14" s="412">
        <v>26.576074963</v>
      </c>
      <c r="F14" s="411">
        <v>102651</v>
      </c>
      <c r="G14" s="411">
        <v>32110</v>
      </c>
      <c r="H14" s="412">
        <v>31.280747387000002</v>
      </c>
      <c r="I14" s="411">
        <v>31311.4</v>
      </c>
      <c r="J14" s="413">
        <v>100</v>
      </c>
      <c r="K14" s="411">
        <v>32110</v>
      </c>
      <c r="L14" s="414">
        <v>100</v>
      </c>
      <c r="M14" s="411">
        <v>108.8</v>
      </c>
      <c r="N14" s="415">
        <v>0.34747727699999997</v>
      </c>
      <c r="O14" s="411">
        <v>5344</v>
      </c>
      <c r="P14" s="411">
        <v>32133</v>
      </c>
      <c r="Q14" s="411">
        <v>236.58</v>
      </c>
      <c r="R14" s="407"/>
      <c r="S14" s="407"/>
      <c r="T14" s="407"/>
      <c r="U14" s="407"/>
      <c r="V14" s="407"/>
      <c r="W14" s="407"/>
      <c r="X14" s="407"/>
      <c r="Y14" s="407"/>
      <c r="Z14" s="408"/>
      <c r="AA14" s="408"/>
    </row>
    <row r="15" spans="1:27" s="22" customFormat="1" ht="18" customHeight="1">
      <c r="A15" s="409">
        <v>44228</v>
      </c>
      <c r="B15" s="410">
        <v>517.4</v>
      </c>
      <c r="C15" s="411">
        <v>97916</v>
      </c>
      <c r="D15" s="411">
        <v>25544.5</v>
      </c>
      <c r="E15" s="412">
        <v>26.088177622</v>
      </c>
      <c r="F15" s="411">
        <v>140763</v>
      </c>
      <c r="G15" s="411">
        <v>31160</v>
      </c>
      <c r="H15" s="412">
        <v>22.136498937999999</v>
      </c>
      <c r="I15" s="411">
        <v>255445</v>
      </c>
      <c r="J15" s="413">
        <v>100</v>
      </c>
      <c r="K15" s="411">
        <v>31160</v>
      </c>
      <c r="L15" s="414">
        <v>100</v>
      </c>
      <c r="M15" s="411">
        <v>29.2</v>
      </c>
      <c r="N15" s="415">
        <v>0.11431032100000001</v>
      </c>
      <c r="O15" s="411">
        <v>7582</v>
      </c>
      <c r="P15" s="411">
        <v>31204</v>
      </c>
      <c r="Q15" s="411">
        <v>278.11</v>
      </c>
      <c r="R15" s="407"/>
      <c r="S15" s="407"/>
      <c r="T15" s="407"/>
      <c r="U15" s="407"/>
      <c r="V15" s="407"/>
      <c r="W15" s="407"/>
      <c r="X15" s="407"/>
      <c r="Y15" s="407"/>
      <c r="Z15" s="408"/>
      <c r="AA15" s="408"/>
    </row>
    <row r="16" spans="1:27" s="22" customFormat="1" ht="18" customHeight="1">
      <c r="A16" s="1180" t="s">
        <v>519</v>
      </c>
      <c r="B16" s="1180"/>
      <c r="C16" s="1180"/>
      <c r="D16" s="1180"/>
      <c r="E16" s="1180"/>
      <c r="F16" s="1180"/>
      <c r="G16" s="1180"/>
      <c r="H16" s="613"/>
      <c r="I16" s="23"/>
      <c r="J16" s="23"/>
      <c r="K16" s="23"/>
      <c r="L16" s="23"/>
      <c r="M16" s="23"/>
      <c r="N16" s="23"/>
      <c r="O16" s="23"/>
      <c r="P16" s="34"/>
      <c r="Q16" s="34"/>
    </row>
    <row r="17" spans="1:17" s="22" customFormat="1" ht="18" customHeight="1">
      <c r="A17" s="21" t="s">
        <v>520</v>
      </c>
      <c r="B17" s="390"/>
      <c r="C17" s="390"/>
      <c r="D17" s="390"/>
      <c r="E17" s="390"/>
      <c r="F17" s="390"/>
      <c r="G17" s="390"/>
      <c r="H17" s="613"/>
      <c r="I17" s="23"/>
      <c r="J17" s="23"/>
      <c r="K17" s="23"/>
      <c r="L17" s="23"/>
      <c r="M17" s="23"/>
      <c r="N17" s="23"/>
      <c r="O17" s="23"/>
      <c r="P17" s="34"/>
      <c r="Q17" s="34"/>
    </row>
    <row r="18" spans="1:17" s="22" customFormat="1" ht="13.5" customHeight="1">
      <c r="A18" s="1215" t="s">
        <v>1173</v>
      </c>
      <c r="B18" s="1215"/>
      <c r="C18" s="1215"/>
      <c r="D18" s="1215"/>
      <c r="I18" s="23"/>
      <c r="J18" s="23"/>
      <c r="K18" s="23"/>
      <c r="L18" s="23"/>
      <c r="M18" s="23"/>
      <c r="N18" s="23"/>
      <c r="O18" s="23"/>
    </row>
    <row r="19" spans="1:17" s="22" customFormat="1" ht="15" customHeight="1">
      <c r="A19" s="1215" t="s">
        <v>521</v>
      </c>
      <c r="B19" s="1215"/>
      <c r="C19" s="1215"/>
      <c r="D19" s="1215"/>
      <c r="I19" s="23"/>
      <c r="J19" s="23"/>
      <c r="K19" s="23"/>
      <c r="L19" s="23"/>
      <c r="M19" s="23"/>
      <c r="N19" s="23"/>
      <c r="O19" s="23"/>
    </row>
  </sheetData>
  <mergeCells count="4">
    <mergeCell ref="A1:I1"/>
    <mergeCell ref="A16:G16"/>
    <mergeCell ref="A18:D18"/>
    <mergeCell ref="A19:D19"/>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CC23"/>
  <sheetViews>
    <sheetView zoomScale="70" zoomScaleNormal="70" workbookViewId="0">
      <selection activeCell="M38" sqref="M38"/>
    </sheetView>
  </sheetViews>
  <sheetFormatPr defaultColWidth="8.85546875" defaultRowHeight="15"/>
  <cols>
    <col min="1" max="1" width="14.7109375" style="21" bestFit="1" customWidth="1"/>
    <col min="2" max="17" width="15.42578125" style="21" customWidth="1"/>
    <col min="18" max="18" width="4.7109375" style="21" bestFit="1" customWidth="1"/>
    <col min="19" max="22" width="8.85546875" style="21"/>
    <col min="23" max="24" width="14.7109375" style="21" bestFit="1" customWidth="1"/>
    <col min="25" max="25" width="8.85546875" style="21"/>
    <col min="26" max="26" width="13.85546875" style="21" bestFit="1" customWidth="1"/>
    <col min="27" max="27" width="8.85546875" style="21"/>
    <col min="28" max="28" width="15.28515625" style="21" bestFit="1" customWidth="1"/>
    <col min="29" max="16384" width="8.85546875" style="21"/>
  </cols>
  <sheetData>
    <row r="1" spans="1:81" ht="18" customHeight="1">
      <c r="A1" s="1179" t="s">
        <v>522</v>
      </c>
      <c r="B1" s="1179"/>
      <c r="C1" s="1179"/>
      <c r="D1" s="1179"/>
      <c r="E1" s="1179"/>
      <c r="F1" s="1179"/>
      <c r="G1" s="1179"/>
      <c r="H1" s="1179"/>
      <c r="I1" s="1179"/>
    </row>
    <row r="2" spans="1:81" s="22" customFormat="1" ht="88.5" customHeight="1">
      <c r="A2" s="398" t="s">
        <v>503</v>
      </c>
      <c r="B2" s="398" t="s">
        <v>504</v>
      </c>
      <c r="C2" s="398" t="s">
        <v>505</v>
      </c>
      <c r="D2" s="398" t="s">
        <v>506</v>
      </c>
      <c r="E2" s="398" t="s">
        <v>507</v>
      </c>
      <c r="F2" s="398" t="s">
        <v>124</v>
      </c>
      <c r="G2" s="398" t="s">
        <v>508</v>
      </c>
      <c r="H2" s="398" t="s">
        <v>509</v>
      </c>
      <c r="I2" s="398" t="s">
        <v>510</v>
      </c>
      <c r="J2" s="398" t="s">
        <v>511</v>
      </c>
      <c r="K2" s="398" t="s">
        <v>512</v>
      </c>
      <c r="L2" s="398" t="s">
        <v>513</v>
      </c>
      <c r="M2" s="398" t="s">
        <v>514</v>
      </c>
      <c r="N2" s="398" t="s">
        <v>523</v>
      </c>
      <c r="O2" s="398" t="s">
        <v>516</v>
      </c>
      <c r="P2" s="398" t="s">
        <v>517</v>
      </c>
      <c r="Q2" s="398" t="s">
        <v>518</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row>
    <row r="3" spans="1:81" s="22" customFormat="1" ht="18" customHeight="1">
      <c r="A3" s="399" t="s">
        <v>58</v>
      </c>
      <c r="B3" s="400">
        <v>35768.935709999998</v>
      </c>
      <c r="C3" s="401">
        <v>5361647.5389999999</v>
      </c>
      <c r="D3" s="401">
        <v>1067585.125</v>
      </c>
      <c r="E3" s="404">
        <v>19.911512590000001</v>
      </c>
      <c r="F3" s="401">
        <v>9643316.7670000009</v>
      </c>
      <c r="G3" s="401">
        <v>2077333.0319999999</v>
      </c>
      <c r="H3" s="404">
        <v>21.54168615</v>
      </c>
      <c r="I3" s="401">
        <v>1065619.0109999999</v>
      </c>
      <c r="J3" s="421">
        <f>I3/D3*100</f>
        <v>99.815835388302162</v>
      </c>
      <c r="K3" s="401">
        <v>2075912.925</v>
      </c>
      <c r="L3" s="421">
        <f>K3/G3*100</f>
        <v>99.931637971469954</v>
      </c>
      <c r="M3" s="400">
        <v>1966.104961</v>
      </c>
      <c r="N3" s="404">
        <v>0.18450355500000001</v>
      </c>
      <c r="O3" s="401">
        <v>600587.1226</v>
      </c>
      <c r="P3" s="401">
        <v>2077333.0319999999</v>
      </c>
      <c r="Q3" s="405">
        <v>302.11</v>
      </c>
      <c r="S3" s="422"/>
      <c r="T3" s="422"/>
      <c r="U3" s="422"/>
      <c r="V3" s="422"/>
      <c r="W3" s="422"/>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row>
    <row r="4" spans="1:81" s="22" customFormat="1" ht="18" customHeight="1">
      <c r="A4" s="399" t="s">
        <v>61</v>
      </c>
      <c r="B4" s="400">
        <v>50336.107049999999</v>
      </c>
      <c r="C4" s="400">
        <v>8179252.8799999999</v>
      </c>
      <c r="D4" s="400">
        <v>1390741.558</v>
      </c>
      <c r="E4" s="402">
        <v>17.00328352</v>
      </c>
      <c r="F4" s="400">
        <v>14967138.27</v>
      </c>
      <c r="G4" s="400">
        <v>2632567.4569999999</v>
      </c>
      <c r="H4" s="402">
        <v>17.588983339999999</v>
      </c>
      <c r="I4" s="400">
        <v>1387800.2490000001</v>
      </c>
      <c r="J4" s="421">
        <v>100</v>
      </c>
      <c r="K4" s="400">
        <v>2630816.1719999998</v>
      </c>
      <c r="L4" s="421">
        <v>100</v>
      </c>
      <c r="M4" s="400">
        <v>2941.3190399999999</v>
      </c>
      <c r="N4" s="402">
        <v>0.211941095</v>
      </c>
      <c r="O4" s="400">
        <v>751751.99</v>
      </c>
      <c r="P4" s="400">
        <v>2632567.4580000001</v>
      </c>
      <c r="Q4" s="405">
        <v>355.39</v>
      </c>
      <c r="S4" s="422"/>
      <c r="T4" s="422"/>
      <c r="U4" s="422"/>
      <c r="V4" s="422"/>
      <c r="W4" s="422"/>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row>
    <row r="5" spans="1:81" s="22" customFormat="1" ht="18" customHeight="1">
      <c r="A5" s="409" t="s">
        <v>60</v>
      </c>
      <c r="B5" s="342">
        <v>4150.2334300000002</v>
      </c>
      <c r="C5" s="342">
        <v>468098.45819999999</v>
      </c>
      <c r="D5" s="342">
        <v>86142.43144</v>
      </c>
      <c r="E5" s="414">
        <v>18.40263088</v>
      </c>
      <c r="F5" s="342">
        <v>926064.65599999996</v>
      </c>
      <c r="G5" s="342">
        <v>169258.2064</v>
      </c>
      <c r="H5" s="414">
        <v>18.277147849999999</v>
      </c>
      <c r="I5" s="342">
        <v>85960.241169999994</v>
      </c>
      <c r="J5" s="423">
        <f t="shared" ref="J5:J12" si="0">I5/D5*100</f>
        <v>99.788501128939103</v>
      </c>
      <c r="K5" s="342">
        <v>169154.07440000001</v>
      </c>
      <c r="L5" s="423">
        <f t="shared" ref="L5:L12" si="1">K5/G5*100</f>
        <v>99.938477429121576</v>
      </c>
      <c r="M5" s="410">
        <v>182.19027</v>
      </c>
      <c r="N5" s="414">
        <v>0.21194713700000001</v>
      </c>
      <c r="O5" s="342">
        <v>53768.75</v>
      </c>
      <c r="P5" s="342">
        <v>169258.2064</v>
      </c>
      <c r="Q5" s="411">
        <v>305.51</v>
      </c>
      <c r="S5" s="422"/>
      <c r="T5" s="422"/>
      <c r="U5" s="422"/>
      <c r="V5" s="422"/>
      <c r="W5" s="422"/>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row>
    <row r="6" spans="1:81" s="22" customFormat="1" ht="18" customHeight="1">
      <c r="A6" s="409" t="s">
        <v>59</v>
      </c>
      <c r="B6" s="342">
        <v>3967.3101900000001</v>
      </c>
      <c r="C6" s="342">
        <v>519841.9523</v>
      </c>
      <c r="D6" s="342">
        <v>90797.839619999999</v>
      </c>
      <c r="E6" s="414">
        <v>17.466431709999998</v>
      </c>
      <c r="F6" s="342">
        <v>1049727.142</v>
      </c>
      <c r="G6" s="342">
        <v>201623.16380000001</v>
      </c>
      <c r="H6" s="414">
        <v>19.207197359999999</v>
      </c>
      <c r="I6" s="342">
        <v>90650.955839999995</v>
      </c>
      <c r="J6" s="423">
        <f t="shared" si="0"/>
        <v>99.838229873513811</v>
      </c>
      <c r="K6" s="342">
        <v>201524.13329999999</v>
      </c>
      <c r="L6" s="423">
        <f t="shared" si="1"/>
        <v>99.950883371665441</v>
      </c>
      <c r="M6" s="410">
        <v>146.88378</v>
      </c>
      <c r="N6" s="414">
        <v>0.16177012599999999</v>
      </c>
      <c r="O6" s="342">
        <v>80224.740000000005</v>
      </c>
      <c r="P6" s="342">
        <v>201623.16380000001</v>
      </c>
      <c r="Q6" s="411">
        <v>311.04000000000002</v>
      </c>
      <c r="S6" s="422"/>
      <c r="T6" s="422"/>
      <c r="U6" s="422"/>
      <c r="V6" s="422"/>
      <c r="W6" s="422"/>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row>
    <row r="7" spans="1:81" s="22" customFormat="1" ht="18" customHeight="1">
      <c r="A7" s="409" t="s">
        <v>310</v>
      </c>
      <c r="B7" s="342">
        <v>5341.7662899999996</v>
      </c>
      <c r="C7" s="342">
        <v>1030660.0110000001</v>
      </c>
      <c r="D7" s="342">
        <v>155158.89689999999</v>
      </c>
      <c r="E7" s="414">
        <v>15.054323950000001</v>
      </c>
      <c r="F7" s="342">
        <v>1520003.977</v>
      </c>
      <c r="G7" s="342">
        <v>249841.2941</v>
      </c>
      <c r="H7" s="414">
        <v>16.43688423</v>
      </c>
      <c r="I7" s="342">
        <v>154762.5999</v>
      </c>
      <c r="J7" s="423">
        <f t="shared" si="0"/>
        <v>99.744586351206536</v>
      </c>
      <c r="K7" s="342">
        <v>249657.12940000001</v>
      </c>
      <c r="L7" s="423">
        <f t="shared" si="1"/>
        <v>99.926287325454581</v>
      </c>
      <c r="M7" s="410">
        <v>396.29710999999998</v>
      </c>
      <c r="N7" s="414">
        <v>0.25606775199999998</v>
      </c>
      <c r="O7" s="342">
        <v>75290.960000000006</v>
      </c>
      <c r="P7" s="342">
        <v>249841.2941</v>
      </c>
      <c r="Q7" s="411">
        <v>314.77999999999997</v>
      </c>
      <c r="S7" s="422"/>
      <c r="T7" s="422"/>
      <c r="U7" s="422"/>
      <c r="V7" s="422"/>
      <c r="W7" s="422"/>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row>
    <row r="8" spans="1:81" s="22" customFormat="1" ht="15" customHeight="1">
      <c r="A8" s="409" t="s">
        <v>356</v>
      </c>
      <c r="B8" s="342">
        <v>4814.26847</v>
      </c>
      <c r="C8" s="342">
        <v>805230.80790000001</v>
      </c>
      <c r="D8" s="342">
        <v>131916.69380000001</v>
      </c>
      <c r="E8" s="414">
        <v>16.382469780000001</v>
      </c>
      <c r="F8" s="342">
        <v>1414639.284</v>
      </c>
      <c r="G8" s="342">
        <v>229927.28049999999</v>
      </c>
      <c r="H8" s="414">
        <v>16.25342114</v>
      </c>
      <c r="I8" s="342">
        <v>131411.98749999999</v>
      </c>
      <c r="J8" s="423">
        <f t="shared" si="0"/>
        <v>99.617405284000512</v>
      </c>
      <c r="K8" s="342">
        <v>229766.37590000001</v>
      </c>
      <c r="L8" s="423">
        <f t="shared" si="1"/>
        <v>99.930019352357817</v>
      </c>
      <c r="M8" s="410">
        <v>504.70627999999999</v>
      </c>
      <c r="N8" s="414">
        <v>0.38259473900000002</v>
      </c>
      <c r="O8" s="342">
        <v>56586.18</v>
      </c>
      <c r="P8" s="342">
        <v>229927.28049999999</v>
      </c>
      <c r="Q8" s="411">
        <v>316.97000000000003</v>
      </c>
      <c r="S8" s="422"/>
      <c r="T8" s="422"/>
      <c r="U8" s="422"/>
      <c r="V8" s="422"/>
      <c r="W8" s="422"/>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row>
    <row r="9" spans="1:81" s="22" customFormat="1" ht="18" customHeight="1">
      <c r="A9" s="409" t="s">
        <v>384</v>
      </c>
      <c r="B9" s="342">
        <v>4483.88429</v>
      </c>
      <c r="C9" s="342">
        <v>756614.81169999996</v>
      </c>
      <c r="D9" s="342">
        <v>138718.49950000001</v>
      </c>
      <c r="E9" s="414">
        <v>18.334097799999999</v>
      </c>
      <c r="F9" s="342">
        <v>1339265.102</v>
      </c>
      <c r="G9" s="342">
        <v>229893.01019999999</v>
      </c>
      <c r="H9" s="414">
        <v>17.165608949999999</v>
      </c>
      <c r="I9" s="342">
        <v>138575.89129999999</v>
      </c>
      <c r="J9" s="423">
        <f t="shared" si="0"/>
        <v>99.897195975652821</v>
      </c>
      <c r="K9" s="342">
        <v>229745.5386</v>
      </c>
      <c r="L9" s="423">
        <f t="shared" si="1"/>
        <v>99.935852073157122</v>
      </c>
      <c r="M9" s="410">
        <v>142.60824</v>
      </c>
      <c r="N9" s="414">
        <v>0.10280405300000001</v>
      </c>
      <c r="O9" s="342">
        <v>55195.16</v>
      </c>
      <c r="P9" s="342">
        <v>229893.01019999999</v>
      </c>
      <c r="Q9" s="411">
        <v>320.88</v>
      </c>
      <c r="S9" s="422"/>
      <c r="T9" s="422"/>
      <c r="U9" s="422"/>
      <c r="V9" s="422"/>
      <c r="W9" s="422"/>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row>
    <row r="10" spans="1:81" s="22" customFormat="1" ht="18" customHeight="1">
      <c r="A10" s="420" t="s">
        <v>386</v>
      </c>
      <c r="B10" s="342">
        <v>4506.4092099999998</v>
      </c>
      <c r="C10" s="342">
        <v>781188.5871</v>
      </c>
      <c r="D10" s="342">
        <v>123886.25689999999</v>
      </c>
      <c r="E10" s="414">
        <v>15.858687509999999</v>
      </c>
      <c r="F10" s="342">
        <v>1386253.895</v>
      </c>
      <c r="G10" s="342">
        <v>235653.72029999999</v>
      </c>
      <c r="H10" s="414">
        <v>16.999318890000001</v>
      </c>
      <c r="I10" s="342">
        <v>123617.95080000001</v>
      </c>
      <c r="J10" s="423">
        <f t="shared" si="0"/>
        <v>99.783425452738825</v>
      </c>
      <c r="K10" s="342">
        <v>235469.04939999999</v>
      </c>
      <c r="L10" s="423">
        <f t="shared" si="1"/>
        <v>99.921634634172165</v>
      </c>
      <c r="M10" s="410">
        <v>268.30608999999998</v>
      </c>
      <c r="N10" s="414">
        <v>0.217044603</v>
      </c>
      <c r="O10" s="342">
        <v>64749.96</v>
      </c>
      <c r="P10" s="342">
        <v>235653.72029999999</v>
      </c>
      <c r="Q10" s="411">
        <v>326.93</v>
      </c>
      <c r="S10" s="422"/>
      <c r="T10" s="422"/>
      <c r="U10" s="422"/>
      <c r="V10" s="422"/>
      <c r="W10" s="422"/>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row>
    <row r="11" spans="1:81" s="22" customFormat="1" ht="18" customHeight="1">
      <c r="A11" s="420" t="s">
        <v>392</v>
      </c>
      <c r="B11" s="342">
        <v>3602.69517</v>
      </c>
      <c r="C11" s="342">
        <v>487624.50569999998</v>
      </c>
      <c r="D11" s="342">
        <v>84937.629820000002</v>
      </c>
      <c r="E11" s="414">
        <v>17.418654889999999</v>
      </c>
      <c r="F11" s="342">
        <v>1110638.7139999999</v>
      </c>
      <c r="G11" s="342">
        <v>188341.83309999999</v>
      </c>
      <c r="H11" s="414">
        <v>16.957974790000002</v>
      </c>
      <c r="I11" s="342">
        <v>84770.602549999996</v>
      </c>
      <c r="J11" s="423">
        <f t="shared" si="0"/>
        <v>99.803353036393915</v>
      </c>
      <c r="K11" s="342">
        <v>188226.22140000001</v>
      </c>
      <c r="L11" s="423">
        <f t="shared" si="1"/>
        <v>99.938616026988228</v>
      </c>
      <c r="M11" s="410">
        <v>167.02726999999999</v>
      </c>
      <c r="N11" s="414">
        <v>0.19664696400000001</v>
      </c>
      <c r="O11" s="342">
        <v>47858.76</v>
      </c>
      <c r="P11" s="342">
        <v>188341.83309999999</v>
      </c>
      <c r="Q11" s="411">
        <v>329.18</v>
      </c>
      <c r="S11" s="422"/>
      <c r="T11" s="422"/>
      <c r="U11" s="422"/>
      <c r="V11" s="422"/>
      <c r="W11" s="422"/>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row>
    <row r="12" spans="1:81" s="22" customFormat="1" ht="18" customHeight="1">
      <c r="A12" s="409" t="s">
        <v>396</v>
      </c>
      <c r="B12" s="342">
        <v>4227.3900000000003</v>
      </c>
      <c r="C12" s="342">
        <v>633355.61</v>
      </c>
      <c r="D12" s="342">
        <v>124285.11</v>
      </c>
      <c r="E12" s="414">
        <v>19.62</v>
      </c>
      <c r="F12" s="342">
        <v>1372308.5660000001</v>
      </c>
      <c r="G12" s="342">
        <v>250631.17</v>
      </c>
      <c r="H12" s="414">
        <v>18.26347049</v>
      </c>
      <c r="I12" s="342">
        <v>124149.11</v>
      </c>
      <c r="J12" s="423">
        <f t="shared" si="0"/>
        <v>99.8905741806078</v>
      </c>
      <c r="K12" s="342">
        <v>250509.84</v>
      </c>
      <c r="L12" s="423">
        <f t="shared" si="1"/>
        <v>99.951590219205372</v>
      </c>
      <c r="M12" s="410">
        <v>136.01</v>
      </c>
      <c r="N12" s="414">
        <v>0.11</v>
      </c>
      <c r="O12" s="342">
        <v>76844.899999999994</v>
      </c>
      <c r="P12" s="342">
        <v>250631.17</v>
      </c>
      <c r="Q12" s="411">
        <v>332.28</v>
      </c>
      <c r="S12" s="422"/>
      <c r="T12" s="422"/>
      <c r="U12" s="422"/>
      <c r="V12" s="422"/>
      <c r="W12" s="422"/>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row>
    <row r="13" spans="1:81" s="22" customFormat="1" ht="18" customHeight="1">
      <c r="A13" s="409">
        <v>44166</v>
      </c>
      <c r="B13" s="342">
        <v>5106.16</v>
      </c>
      <c r="C13" s="342">
        <v>959418.9</v>
      </c>
      <c r="D13" s="342">
        <v>176445.48</v>
      </c>
      <c r="E13" s="414">
        <v>18.390869720000001</v>
      </c>
      <c r="F13" s="342">
        <v>1593238.1850000001</v>
      </c>
      <c r="G13" s="342">
        <v>318019.59000000003</v>
      </c>
      <c r="H13" s="414">
        <v>19.96058047</v>
      </c>
      <c r="I13" s="342">
        <v>176149.12</v>
      </c>
      <c r="J13" s="423">
        <v>100</v>
      </c>
      <c r="K13" s="342">
        <v>317862.51</v>
      </c>
      <c r="L13" s="423">
        <v>100</v>
      </c>
      <c r="M13" s="410">
        <v>296.36</v>
      </c>
      <c r="N13" s="414">
        <v>0.17</v>
      </c>
      <c r="O13" s="342">
        <v>105854.2</v>
      </c>
      <c r="P13" s="342">
        <v>318019.59000000003</v>
      </c>
      <c r="Q13" s="411">
        <v>333.89</v>
      </c>
      <c r="S13" s="422"/>
      <c r="T13" s="422"/>
      <c r="U13" s="422"/>
      <c r="V13" s="422"/>
      <c r="W13" s="422"/>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row>
    <row r="14" spans="1:81" s="22" customFormat="1" ht="18" customHeight="1">
      <c r="A14" s="409">
        <v>44197</v>
      </c>
      <c r="B14" s="342">
        <v>4799.47</v>
      </c>
      <c r="C14" s="342">
        <v>874149.8</v>
      </c>
      <c r="D14" s="342">
        <v>139166.44</v>
      </c>
      <c r="E14" s="414">
        <v>15.920204979999999</v>
      </c>
      <c r="F14" s="342">
        <v>1514650.655</v>
      </c>
      <c r="G14" s="342">
        <v>262745.95</v>
      </c>
      <c r="H14" s="414">
        <v>17.34696705</v>
      </c>
      <c r="I14" s="342">
        <v>138694.54999999999</v>
      </c>
      <c r="J14" s="423">
        <v>100</v>
      </c>
      <c r="K14" s="342">
        <v>262525.90999999997</v>
      </c>
      <c r="L14" s="423">
        <v>100</v>
      </c>
      <c r="M14" s="410">
        <v>471.89</v>
      </c>
      <c r="N14" s="414">
        <v>0.34</v>
      </c>
      <c r="O14" s="342">
        <v>64367.95</v>
      </c>
      <c r="P14" s="342">
        <v>262745.95</v>
      </c>
      <c r="Q14" s="411">
        <v>336.24</v>
      </c>
      <c r="S14" s="422"/>
      <c r="T14" s="422"/>
      <c r="U14" s="422"/>
      <c r="V14" s="422"/>
      <c r="W14" s="422"/>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row>
    <row r="15" spans="1:81" s="22" customFormat="1" ht="18" customHeight="1">
      <c r="A15" s="409">
        <v>44228</v>
      </c>
      <c r="B15" s="342">
        <v>5336.52</v>
      </c>
      <c r="C15" s="342">
        <v>863069.44</v>
      </c>
      <c r="D15" s="342">
        <v>139286.28</v>
      </c>
      <c r="E15" s="414">
        <v>16.13847896</v>
      </c>
      <c r="F15" s="342">
        <v>1740348.091</v>
      </c>
      <c r="G15" s="342">
        <v>296632.23859999998</v>
      </c>
      <c r="H15" s="414">
        <v>17.044420030000001</v>
      </c>
      <c r="I15" s="342">
        <v>139057.24</v>
      </c>
      <c r="J15" s="423">
        <v>100</v>
      </c>
      <c r="K15" s="342">
        <v>296375.39</v>
      </c>
      <c r="L15" s="423">
        <v>100</v>
      </c>
      <c r="M15" s="410">
        <v>229.04</v>
      </c>
      <c r="N15" s="414">
        <v>0.16</v>
      </c>
      <c r="O15" s="342">
        <v>71010.429999999993</v>
      </c>
      <c r="P15" s="342">
        <v>296632.24</v>
      </c>
      <c r="Q15" s="411">
        <v>355.39</v>
      </c>
      <c r="S15" s="422"/>
      <c r="T15" s="422"/>
      <c r="U15" s="422"/>
      <c r="V15" s="422"/>
      <c r="W15" s="422"/>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row>
    <row r="16" spans="1:81" s="22" customFormat="1" ht="13.5" customHeight="1">
      <c r="A16" s="1180" t="s">
        <v>36</v>
      </c>
      <c r="B16" s="1180"/>
      <c r="C16" s="1180"/>
      <c r="D16" s="1180"/>
      <c r="E16" s="1180"/>
      <c r="F16" s="1180"/>
      <c r="G16" s="1180"/>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row>
    <row r="17" spans="1:81" s="22" customFormat="1" ht="13.5" customHeight="1">
      <c r="A17" s="383" t="s">
        <v>524</v>
      </c>
      <c r="B17" s="383"/>
      <c r="C17" s="383"/>
      <c r="D17" s="383"/>
      <c r="E17" s="383"/>
      <c r="F17" s="383"/>
      <c r="G17" s="383"/>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row>
    <row r="18" spans="1:81" s="22" customFormat="1" ht="13.5" customHeight="1">
      <c r="A18" s="1180" t="s">
        <v>1173</v>
      </c>
      <c r="B18" s="1180"/>
      <c r="C18" s="1180"/>
      <c r="D18" s="1180"/>
      <c r="E18" s="1180"/>
      <c r="F18" s="1180"/>
      <c r="G18" s="1180"/>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row>
    <row r="19" spans="1:81" s="22" customFormat="1">
      <c r="A19" s="1180" t="s">
        <v>525</v>
      </c>
      <c r="B19" s="1180"/>
      <c r="C19" s="1180"/>
      <c r="D19" s="1180"/>
      <c r="E19" s="1180"/>
      <c r="F19" s="1180"/>
      <c r="G19" s="1180"/>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row>
    <row r="20" spans="1:81">
      <c r="B20" s="33"/>
      <c r="C20" s="33"/>
      <c r="D20" s="33"/>
      <c r="E20" s="33"/>
      <c r="F20" s="33"/>
      <c r="G20" s="33"/>
      <c r="H20" s="33"/>
      <c r="I20" s="33"/>
      <c r="J20" s="33"/>
      <c r="K20" s="33"/>
      <c r="L20" s="33"/>
      <c r="M20" s="33"/>
      <c r="N20" s="33"/>
      <c r="O20" s="33"/>
      <c r="P20" s="33"/>
      <c r="Q20" s="33"/>
      <c r="R20" s="33"/>
    </row>
    <row r="21" spans="1:81">
      <c r="B21" s="33"/>
      <c r="C21" s="33"/>
      <c r="D21" s="33"/>
      <c r="E21" s="33"/>
      <c r="F21" s="33"/>
      <c r="G21" s="33"/>
      <c r="H21" s="33"/>
      <c r="I21" s="33"/>
      <c r="J21" s="33"/>
      <c r="K21" s="33"/>
      <c r="L21" s="33"/>
      <c r="M21" s="33"/>
      <c r="N21" s="33"/>
      <c r="O21" s="33"/>
      <c r="P21" s="33"/>
      <c r="Q21" s="33"/>
      <c r="R21" s="33"/>
    </row>
    <row r="22" spans="1:81">
      <c r="B22" s="33"/>
      <c r="C22" s="33"/>
      <c r="D22" s="33"/>
      <c r="E22" s="33"/>
      <c r="F22" s="33"/>
      <c r="G22" s="33"/>
      <c r="H22" s="33"/>
      <c r="I22" s="33"/>
      <c r="J22" s="33"/>
      <c r="K22" s="33"/>
      <c r="L22" s="33"/>
      <c r="M22" s="33"/>
      <c r="N22" s="33"/>
      <c r="O22" s="33"/>
      <c r="P22" s="33"/>
      <c r="Q22" s="33"/>
      <c r="R22" s="33"/>
    </row>
    <row r="23" spans="1:81">
      <c r="B23" s="33"/>
      <c r="C23" s="33"/>
      <c r="D23" s="33"/>
      <c r="E23" s="33"/>
      <c r="F23" s="33"/>
      <c r="G23" s="33"/>
      <c r="H23" s="33"/>
      <c r="I23" s="33"/>
      <c r="J23" s="33"/>
      <c r="K23" s="33"/>
      <c r="L23" s="33"/>
      <c r="M23" s="33"/>
      <c r="N23" s="33"/>
      <c r="O23" s="33"/>
      <c r="P23" s="33"/>
      <c r="Q23" s="33"/>
      <c r="R23" s="33"/>
    </row>
  </sheetData>
  <mergeCells count="4">
    <mergeCell ref="A1:I1"/>
    <mergeCell ref="A16:G16"/>
    <mergeCell ref="A18:G18"/>
    <mergeCell ref="A19:G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8"/>
  <sheetViews>
    <sheetView zoomScale="70" zoomScaleNormal="70" workbookViewId="0">
      <selection activeCell="M28" sqref="M28"/>
    </sheetView>
  </sheetViews>
  <sheetFormatPr defaultColWidth="8.85546875" defaultRowHeight="15"/>
  <cols>
    <col min="1" max="1" width="14.7109375" style="21" bestFit="1" customWidth="1"/>
    <col min="2" max="15" width="13.42578125" style="21" customWidth="1"/>
    <col min="16" max="16384" width="8.85546875" style="21"/>
  </cols>
  <sheetData>
    <row r="1" spans="1:15" ht="14.25" customHeight="1">
      <c r="A1" s="424" t="s">
        <v>526</v>
      </c>
      <c r="B1" s="424"/>
      <c r="C1" s="424"/>
    </row>
    <row r="2" spans="1:15" s="22" customFormat="1" ht="88.5" customHeight="1">
      <c r="A2" s="398" t="s">
        <v>527</v>
      </c>
      <c r="B2" s="398" t="s">
        <v>357</v>
      </c>
      <c r="C2" s="398" t="s">
        <v>358</v>
      </c>
      <c r="D2" s="398" t="s">
        <v>528</v>
      </c>
      <c r="E2" s="398" t="s">
        <v>507</v>
      </c>
      <c r="F2" s="398" t="s">
        <v>124</v>
      </c>
      <c r="G2" s="398" t="s">
        <v>529</v>
      </c>
      <c r="H2" s="398" t="s">
        <v>509</v>
      </c>
      <c r="I2" s="398" t="s">
        <v>530</v>
      </c>
      <c r="J2" s="398" t="s">
        <v>511</v>
      </c>
      <c r="K2" s="398" t="s">
        <v>512</v>
      </c>
      <c r="L2" s="398" t="s">
        <v>513</v>
      </c>
      <c r="M2" s="398" t="s">
        <v>516</v>
      </c>
      <c r="N2" s="398" t="s">
        <v>517</v>
      </c>
      <c r="O2" s="398" t="s">
        <v>531</v>
      </c>
    </row>
    <row r="3" spans="1:15" s="23" customFormat="1" ht="18" customHeight="1">
      <c r="A3" s="425" t="s">
        <v>58</v>
      </c>
      <c r="B3" s="426">
        <v>5.64E-3</v>
      </c>
      <c r="C3" s="426">
        <v>10.29321</v>
      </c>
      <c r="D3" s="426">
        <v>10.291169999999999</v>
      </c>
      <c r="E3" s="426">
        <v>99.98</v>
      </c>
      <c r="F3" s="426">
        <v>20.302788339999999</v>
      </c>
      <c r="G3" s="426">
        <v>20.301970449999999</v>
      </c>
      <c r="H3" s="426">
        <v>100</v>
      </c>
      <c r="I3" s="426">
        <v>10.291169999999999</v>
      </c>
      <c r="J3" s="426">
        <v>100</v>
      </c>
      <c r="K3" s="426">
        <v>20.301970449999999</v>
      </c>
      <c r="L3" s="426">
        <v>100</v>
      </c>
      <c r="M3" s="426">
        <v>20.301970449999999</v>
      </c>
      <c r="N3" s="426">
        <v>20.301970449999999</v>
      </c>
      <c r="O3" s="426">
        <v>0.35</v>
      </c>
    </row>
    <row r="4" spans="1:15" s="23" customFormat="1" ht="18" customHeight="1">
      <c r="A4" s="425" t="s">
        <v>61</v>
      </c>
      <c r="B4" s="426">
        <v>0</v>
      </c>
      <c r="C4" s="426">
        <v>0</v>
      </c>
      <c r="D4" s="426">
        <v>0</v>
      </c>
      <c r="E4" s="426">
        <v>0</v>
      </c>
      <c r="F4" s="426">
        <v>0</v>
      </c>
      <c r="G4" s="426">
        <v>0</v>
      </c>
      <c r="H4" s="426">
        <v>0</v>
      </c>
      <c r="I4" s="426">
        <v>0</v>
      </c>
      <c r="J4" s="426">
        <v>0</v>
      </c>
      <c r="K4" s="426">
        <v>0</v>
      </c>
      <c r="L4" s="426">
        <v>0</v>
      </c>
      <c r="M4" s="426">
        <v>0</v>
      </c>
      <c r="N4" s="426">
        <v>0</v>
      </c>
      <c r="O4" s="426">
        <f>O13</f>
        <v>0</v>
      </c>
    </row>
    <row r="5" spans="1:15" s="22" customFormat="1" ht="18" customHeight="1">
      <c r="A5" s="409" t="s">
        <v>60</v>
      </c>
      <c r="B5" s="427">
        <v>0</v>
      </c>
      <c r="C5" s="427">
        <v>0</v>
      </c>
      <c r="D5" s="427">
        <v>0</v>
      </c>
      <c r="E5" s="427">
        <v>0</v>
      </c>
      <c r="F5" s="427">
        <v>0</v>
      </c>
      <c r="G5" s="427">
        <v>0</v>
      </c>
      <c r="H5" s="427">
        <v>0</v>
      </c>
      <c r="I5" s="427">
        <v>0</v>
      </c>
      <c r="J5" s="427">
        <v>0</v>
      </c>
      <c r="K5" s="427">
        <v>0</v>
      </c>
      <c r="L5" s="427">
        <v>0</v>
      </c>
      <c r="M5" s="427">
        <v>0</v>
      </c>
      <c r="N5" s="427">
        <v>0</v>
      </c>
      <c r="O5" s="427">
        <v>0</v>
      </c>
    </row>
    <row r="6" spans="1:15" s="22" customFormat="1" ht="18" customHeight="1">
      <c r="A6" s="409" t="s">
        <v>59</v>
      </c>
      <c r="B6" s="427">
        <v>0</v>
      </c>
      <c r="C6" s="427">
        <v>0</v>
      </c>
      <c r="D6" s="427">
        <v>0</v>
      </c>
      <c r="E6" s="427">
        <v>0</v>
      </c>
      <c r="F6" s="427">
        <v>0</v>
      </c>
      <c r="G6" s="427">
        <v>0</v>
      </c>
      <c r="H6" s="427">
        <v>0</v>
      </c>
      <c r="I6" s="427">
        <v>0</v>
      </c>
      <c r="J6" s="427">
        <v>0</v>
      </c>
      <c r="K6" s="427">
        <v>0</v>
      </c>
      <c r="L6" s="427">
        <v>0</v>
      </c>
      <c r="M6" s="427">
        <v>0</v>
      </c>
      <c r="N6" s="427">
        <v>0</v>
      </c>
      <c r="O6" s="427">
        <v>0</v>
      </c>
    </row>
    <row r="7" spans="1:15" s="22" customFormat="1" ht="18" customHeight="1">
      <c r="A7" s="409" t="s">
        <v>310</v>
      </c>
      <c r="B7" s="427">
        <v>0</v>
      </c>
      <c r="C7" s="427">
        <v>0</v>
      </c>
      <c r="D7" s="427">
        <v>0</v>
      </c>
      <c r="E7" s="427">
        <v>0</v>
      </c>
      <c r="F7" s="427">
        <v>0</v>
      </c>
      <c r="G7" s="427">
        <v>0</v>
      </c>
      <c r="H7" s="427">
        <v>0</v>
      </c>
      <c r="I7" s="427">
        <v>0</v>
      </c>
      <c r="J7" s="427">
        <v>0</v>
      </c>
      <c r="K7" s="427">
        <v>0</v>
      </c>
      <c r="L7" s="427">
        <v>0</v>
      </c>
      <c r="M7" s="427">
        <v>0</v>
      </c>
      <c r="N7" s="427">
        <v>0</v>
      </c>
      <c r="O7" s="427">
        <v>0</v>
      </c>
    </row>
    <row r="8" spans="1:15" s="22" customFormat="1" ht="18" customHeight="1">
      <c r="A8" s="409" t="s">
        <v>356</v>
      </c>
      <c r="B8" s="427">
        <v>0</v>
      </c>
      <c r="C8" s="427">
        <v>0</v>
      </c>
      <c r="D8" s="427">
        <v>0</v>
      </c>
      <c r="E8" s="427">
        <v>0</v>
      </c>
      <c r="F8" s="427">
        <v>0</v>
      </c>
      <c r="G8" s="427">
        <v>0</v>
      </c>
      <c r="H8" s="427">
        <v>0</v>
      </c>
      <c r="I8" s="427">
        <v>0</v>
      </c>
      <c r="J8" s="427">
        <v>0</v>
      </c>
      <c r="K8" s="427">
        <v>0</v>
      </c>
      <c r="L8" s="427">
        <v>0</v>
      </c>
      <c r="M8" s="427">
        <v>0</v>
      </c>
      <c r="N8" s="427">
        <v>0</v>
      </c>
      <c r="O8" s="427">
        <v>0</v>
      </c>
    </row>
    <row r="9" spans="1:15" s="24" customFormat="1" ht="18" customHeight="1">
      <c r="A9" s="409" t="s">
        <v>384</v>
      </c>
      <c r="B9" s="427">
        <v>0</v>
      </c>
      <c r="C9" s="427">
        <v>0</v>
      </c>
      <c r="D9" s="427">
        <v>0</v>
      </c>
      <c r="E9" s="427">
        <v>0</v>
      </c>
      <c r="F9" s="427">
        <v>0</v>
      </c>
      <c r="G9" s="427">
        <v>0</v>
      </c>
      <c r="H9" s="427">
        <v>0</v>
      </c>
      <c r="I9" s="427">
        <v>0</v>
      </c>
      <c r="J9" s="427">
        <v>0</v>
      </c>
      <c r="K9" s="427">
        <v>0</v>
      </c>
      <c r="L9" s="427">
        <v>0</v>
      </c>
      <c r="M9" s="427">
        <v>0</v>
      </c>
      <c r="N9" s="427">
        <v>0</v>
      </c>
      <c r="O9" s="427">
        <v>0</v>
      </c>
    </row>
    <row r="10" spans="1:15" s="24" customFormat="1" ht="18" customHeight="1">
      <c r="A10" s="420" t="s">
        <v>386</v>
      </c>
      <c r="B10" s="427">
        <v>0</v>
      </c>
      <c r="C10" s="427">
        <v>0</v>
      </c>
      <c r="D10" s="427">
        <v>0</v>
      </c>
      <c r="E10" s="427">
        <v>0</v>
      </c>
      <c r="F10" s="427">
        <v>0</v>
      </c>
      <c r="G10" s="427">
        <v>0</v>
      </c>
      <c r="H10" s="427">
        <v>0</v>
      </c>
      <c r="I10" s="427">
        <v>0</v>
      </c>
      <c r="J10" s="427">
        <v>0</v>
      </c>
      <c r="K10" s="427">
        <v>0</v>
      </c>
      <c r="L10" s="427">
        <v>0</v>
      </c>
      <c r="M10" s="427">
        <v>0</v>
      </c>
      <c r="N10" s="427">
        <v>0</v>
      </c>
      <c r="O10" s="427">
        <v>0</v>
      </c>
    </row>
    <row r="11" spans="1:15" s="24" customFormat="1" ht="18" customHeight="1">
      <c r="A11" s="420" t="s">
        <v>392</v>
      </c>
      <c r="B11" s="427">
        <v>0</v>
      </c>
      <c r="C11" s="427">
        <v>0</v>
      </c>
      <c r="D11" s="427">
        <v>0</v>
      </c>
      <c r="E11" s="427">
        <v>0</v>
      </c>
      <c r="F11" s="427">
        <v>0</v>
      </c>
      <c r="G11" s="427">
        <v>0</v>
      </c>
      <c r="H11" s="427">
        <v>0</v>
      </c>
      <c r="I11" s="427">
        <v>0</v>
      </c>
      <c r="J11" s="427">
        <v>0</v>
      </c>
      <c r="K11" s="427">
        <v>0</v>
      </c>
      <c r="L11" s="427">
        <v>0</v>
      </c>
      <c r="M11" s="427">
        <v>0</v>
      </c>
      <c r="N11" s="427">
        <v>0</v>
      </c>
      <c r="O11" s="427">
        <v>0</v>
      </c>
    </row>
    <row r="12" spans="1:15" s="24" customFormat="1" ht="18" customHeight="1">
      <c r="A12" s="409" t="s">
        <v>396</v>
      </c>
      <c r="B12" s="427">
        <v>0</v>
      </c>
      <c r="C12" s="427">
        <v>0</v>
      </c>
      <c r="D12" s="427">
        <v>0</v>
      </c>
      <c r="E12" s="427">
        <v>0</v>
      </c>
      <c r="F12" s="427">
        <v>0</v>
      </c>
      <c r="G12" s="427">
        <v>0</v>
      </c>
      <c r="H12" s="427">
        <v>0</v>
      </c>
      <c r="I12" s="427">
        <v>0</v>
      </c>
      <c r="J12" s="427">
        <v>0</v>
      </c>
      <c r="K12" s="427">
        <v>0</v>
      </c>
      <c r="L12" s="427">
        <v>0</v>
      </c>
      <c r="M12" s="427">
        <v>0</v>
      </c>
      <c r="N12" s="427">
        <v>0</v>
      </c>
      <c r="O12" s="427">
        <v>0</v>
      </c>
    </row>
    <row r="13" spans="1:15" s="24" customFormat="1" ht="18" customHeight="1">
      <c r="A13" s="409">
        <v>44166</v>
      </c>
      <c r="B13" s="427">
        <v>0</v>
      </c>
      <c r="C13" s="427">
        <v>0</v>
      </c>
      <c r="D13" s="427">
        <v>0</v>
      </c>
      <c r="E13" s="427">
        <v>0</v>
      </c>
      <c r="F13" s="427">
        <v>0</v>
      </c>
      <c r="G13" s="427">
        <v>0</v>
      </c>
      <c r="H13" s="427">
        <v>0</v>
      </c>
      <c r="I13" s="427">
        <v>0</v>
      </c>
      <c r="J13" s="427">
        <v>0</v>
      </c>
      <c r="K13" s="427">
        <v>0</v>
      </c>
      <c r="L13" s="427">
        <v>0</v>
      </c>
      <c r="M13" s="427">
        <v>0</v>
      </c>
      <c r="N13" s="427">
        <v>0</v>
      </c>
      <c r="O13" s="427">
        <v>0</v>
      </c>
    </row>
    <row r="14" spans="1:15" s="24" customFormat="1" ht="18" customHeight="1">
      <c r="A14" s="409">
        <v>44197</v>
      </c>
      <c r="B14" s="427">
        <v>0</v>
      </c>
      <c r="C14" s="427">
        <v>0</v>
      </c>
      <c r="D14" s="427">
        <v>0</v>
      </c>
      <c r="E14" s="427">
        <v>0</v>
      </c>
      <c r="F14" s="427">
        <v>0</v>
      </c>
      <c r="G14" s="427">
        <v>0</v>
      </c>
      <c r="H14" s="427">
        <v>0</v>
      </c>
      <c r="I14" s="427">
        <v>0</v>
      </c>
      <c r="J14" s="427">
        <v>0</v>
      </c>
      <c r="K14" s="427">
        <v>0</v>
      </c>
      <c r="L14" s="427">
        <v>0</v>
      </c>
      <c r="M14" s="427">
        <v>0</v>
      </c>
      <c r="N14" s="427">
        <v>0</v>
      </c>
      <c r="O14" s="427">
        <v>0</v>
      </c>
    </row>
    <row r="15" spans="1:15" s="24" customFormat="1" ht="18" customHeight="1">
      <c r="A15" s="409">
        <v>44228</v>
      </c>
      <c r="B15" s="427">
        <v>0</v>
      </c>
      <c r="C15" s="427">
        <v>0</v>
      </c>
      <c r="D15" s="427">
        <v>0</v>
      </c>
      <c r="E15" s="427">
        <v>0</v>
      </c>
      <c r="F15" s="427">
        <v>0</v>
      </c>
      <c r="G15" s="427">
        <v>0</v>
      </c>
      <c r="H15" s="427">
        <v>0</v>
      </c>
      <c r="I15" s="427">
        <v>0</v>
      </c>
      <c r="J15" s="427">
        <v>0</v>
      </c>
      <c r="K15" s="427">
        <v>0</v>
      </c>
      <c r="L15" s="427">
        <v>0</v>
      </c>
      <c r="M15" s="427">
        <v>0</v>
      </c>
      <c r="N15" s="427">
        <v>0</v>
      </c>
      <c r="O15" s="427">
        <v>0</v>
      </c>
    </row>
    <row r="16" spans="1:15" s="24" customFormat="1" ht="18" customHeight="1">
      <c r="A16" s="428" t="s">
        <v>519</v>
      </c>
      <c r="B16" s="429"/>
      <c r="C16" s="430"/>
      <c r="D16" s="430"/>
      <c r="E16" s="431"/>
      <c r="F16" s="430"/>
      <c r="G16" s="430"/>
      <c r="H16" s="431"/>
      <c r="I16" s="430"/>
      <c r="J16" s="431"/>
      <c r="K16" s="430"/>
      <c r="L16" s="429"/>
      <c r="M16" s="430"/>
      <c r="N16" s="430"/>
      <c r="O16" s="430"/>
    </row>
    <row r="17" spans="1:15" s="22" customFormat="1">
      <c r="A17" s="1314" t="s">
        <v>1173</v>
      </c>
      <c r="B17" s="1314"/>
      <c r="C17" s="1314"/>
      <c r="D17" s="1314"/>
      <c r="E17" s="1314"/>
      <c r="F17" s="1314"/>
      <c r="G17" s="1314"/>
      <c r="H17" s="1314"/>
      <c r="I17" s="1314"/>
      <c r="J17" s="1314"/>
      <c r="K17" s="1314"/>
      <c r="L17" s="1314"/>
      <c r="M17" s="1314"/>
      <c r="N17" s="1314"/>
      <c r="O17" s="1314"/>
    </row>
    <row r="18" spans="1:15" s="22" customFormat="1">
      <c r="A18" s="1222" t="s">
        <v>532</v>
      </c>
      <c r="B18" s="1222"/>
      <c r="C18" s="1222"/>
      <c r="D18" s="1222"/>
      <c r="E18" s="1222"/>
      <c r="F18" s="1222"/>
      <c r="G18" s="1222"/>
      <c r="H18" s="1222"/>
      <c r="I18" s="1222"/>
      <c r="J18" s="1222"/>
      <c r="K18" s="1222"/>
      <c r="L18" s="1222"/>
      <c r="M18" s="1222"/>
      <c r="N18" s="1222"/>
      <c r="O18" s="1222"/>
    </row>
  </sheetData>
  <mergeCells count="2">
    <mergeCell ref="A17:O17"/>
    <mergeCell ref="A18:O1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21"/>
  <sheetViews>
    <sheetView zoomScale="85" zoomScaleNormal="85" workbookViewId="0">
      <selection activeCell="R7" sqref="R7"/>
    </sheetView>
  </sheetViews>
  <sheetFormatPr defaultColWidth="8.85546875" defaultRowHeight="15"/>
  <cols>
    <col min="1" max="1" width="11.85546875" style="21" customWidth="1"/>
    <col min="2" max="2" width="8.7109375" style="21" customWidth="1"/>
    <col min="3" max="6" width="9.140625" style="21" bestFit="1" customWidth="1"/>
    <col min="7" max="7" width="11.5703125" style="21" customWidth="1"/>
    <col min="8" max="8" width="10.7109375" style="21" bestFit="1" customWidth="1"/>
    <col min="9" max="9" width="12" style="21" customWidth="1"/>
    <col min="10" max="14" width="9.140625" style="21" bestFit="1" customWidth="1"/>
    <col min="15" max="15" width="11.7109375" style="21" bestFit="1" customWidth="1"/>
    <col min="16" max="16" width="10.7109375" style="21" bestFit="1" customWidth="1"/>
    <col min="17" max="17" width="10.7109375" style="21" customWidth="1"/>
    <col min="18" max="18" width="9.140625" style="21" bestFit="1" customWidth="1"/>
    <col min="19" max="19" width="4.7109375" style="21" bestFit="1" customWidth="1"/>
    <col min="20" max="16384" width="8.85546875" style="21"/>
  </cols>
  <sheetData>
    <row r="1" spans="1:18" ht="18" customHeight="1">
      <c r="A1" s="1275" t="s">
        <v>533</v>
      </c>
      <c r="B1" s="1275"/>
      <c r="C1" s="1275"/>
      <c r="D1" s="1275"/>
      <c r="E1" s="1275"/>
      <c r="F1" s="1275"/>
      <c r="G1" s="1275"/>
      <c r="H1" s="1275"/>
      <c r="I1" s="1275"/>
      <c r="J1" s="1275"/>
      <c r="K1" s="1275"/>
      <c r="L1" s="1275"/>
      <c r="M1" s="1275"/>
      <c r="N1" s="1275"/>
      <c r="O1" s="1275"/>
      <c r="P1" s="1275"/>
      <c r="Q1" s="1275"/>
      <c r="R1" s="1275"/>
    </row>
    <row r="2" spans="1:18" s="24" customFormat="1" ht="25.5" customHeight="1">
      <c r="A2" s="1315" t="s">
        <v>534</v>
      </c>
      <c r="B2" s="1315" t="s">
        <v>111</v>
      </c>
      <c r="C2" s="1317" t="s">
        <v>535</v>
      </c>
      <c r="D2" s="1318"/>
      <c r="E2" s="1317" t="s">
        <v>536</v>
      </c>
      <c r="F2" s="1318"/>
      <c r="G2" s="1321" t="s">
        <v>537</v>
      </c>
      <c r="H2" s="1322"/>
      <c r="I2" s="1322"/>
      <c r="J2" s="1323"/>
      <c r="K2" s="1321" t="s">
        <v>538</v>
      </c>
      <c r="L2" s="1322"/>
      <c r="M2" s="1322"/>
      <c r="N2" s="1323"/>
      <c r="O2" s="1317" t="s">
        <v>53</v>
      </c>
      <c r="P2" s="1318"/>
      <c r="Q2" s="1324" t="s">
        <v>539</v>
      </c>
      <c r="R2" s="1325"/>
    </row>
    <row r="3" spans="1:18" s="24" customFormat="1" ht="13.5" customHeight="1">
      <c r="A3" s="1301"/>
      <c r="B3" s="1301"/>
      <c r="C3" s="1319"/>
      <c r="D3" s="1320"/>
      <c r="E3" s="1319"/>
      <c r="F3" s="1320"/>
      <c r="G3" s="1321" t="s">
        <v>540</v>
      </c>
      <c r="H3" s="1323"/>
      <c r="I3" s="1321" t="s">
        <v>541</v>
      </c>
      <c r="J3" s="1323"/>
      <c r="K3" s="1321" t="s">
        <v>540</v>
      </c>
      <c r="L3" s="1323"/>
      <c r="M3" s="1321" t="s">
        <v>541</v>
      </c>
      <c r="N3" s="1323"/>
      <c r="O3" s="1319"/>
      <c r="P3" s="1320"/>
      <c r="Q3" s="1326"/>
      <c r="R3" s="1327"/>
    </row>
    <row r="4" spans="1:18" s="24" customFormat="1" ht="62.25" customHeight="1">
      <c r="A4" s="1316"/>
      <c r="B4" s="1316"/>
      <c r="C4" s="432" t="s">
        <v>542</v>
      </c>
      <c r="D4" s="432" t="s">
        <v>543</v>
      </c>
      <c r="E4" s="432" t="s">
        <v>542</v>
      </c>
      <c r="F4" s="432" t="s">
        <v>543</v>
      </c>
      <c r="G4" s="432" t="s">
        <v>542</v>
      </c>
      <c r="H4" s="432" t="s">
        <v>543</v>
      </c>
      <c r="I4" s="432" t="s">
        <v>542</v>
      </c>
      <c r="J4" s="432" t="s">
        <v>543</v>
      </c>
      <c r="K4" s="432" t="s">
        <v>542</v>
      </c>
      <c r="L4" s="432" t="s">
        <v>543</v>
      </c>
      <c r="M4" s="432" t="s">
        <v>542</v>
      </c>
      <c r="N4" s="432" t="s">
        <v>543</v>
      </c>
      <c r="O4" s="432" t="s">
        <v>542</v>
      </c>
      <c r="P4" s="432" t="s">
        <v>543</v>
      </c>
      <c r="Q4" s="432" t="s">
        <v>544</v>
      </c>
      <c r="R4" s="432" t="s">
        <v>543</v>
      </c>
    </row>
    <row r="5" spans="1:18" s="25" customFormat="1" ht="15" customHeight="1">
      <c r="A5" s="433" t="s">
        <v>58</v>
      </c>
      <c r="B5" s="434">
        <v>247</v>
      </c>
      <c r="C5" s="435">
        <v>150212</v>
      </c>
      <c r="D5" s="436">
        <v>14933.63792825</v>
      </c>
      <c r="E5" s="436">
        <v>2983</v>
      </c>
      <c r="F5" s="436">
        <v>162.96255754500001</v>
      </c>
      <c r="G5" s="435">
        <v>2032161</v>
      </c>
      <c r="H5" s="435">
        <v>200440.05508463</v>
      </c>
      <c r="I5" s="435">
        <v>480178</v>
      </c>
      <c r="J5" s="436">
        <v>45522.520567375002</v>
      </c>
      <c r="K5" s="436">
        <v>8473</v>
      </c>
      <c r="L5" s="436">
        <v>626.10800537499995</v>
      </c>
      <c r="M5" s="436">
        <v>7876</v>
      </c>
      <c r="N5" s="436">
        <v>583.24307475000001</v>
      </c>
      <c r="O5" s="435">
        <v>2681883</v>
      </c>
      <c r="P5" s="435">
        <v>262268.51721791999</v>
      </c>
      <c r="Q5" s="436">
        <v>515</v>
      </c>
      <c r="R5" s="436">
        <v>37.94</v>
      </c>
    </row>
    <row r="6" spans="1:18" s="25" customFormat="1" ht="15" customHeight="1">
      <c r="A6" s="433" t="s">
        <v>61</v>
      </c>
      <c r="B6" s="436">
        <f t="shared" ref="B6:O6" si="0">SUM(B7:B21)</f>
        <v>228</v>
      </c>
      <c r="C6" s="436">
        <f t="shared" si="0"/>
        <v>51982</v>
      </c>
      <c r="D6" s="436">
        <f t="shared" si="0"/>
        <v>4818.0849258750004</v>
      </c>
      <c r="E6" s="436">
        <f t="shared" si="0"/>
        <v>0</v>
      </c>
      <c r="F6" s="436">
        <f t="shared" si="0"/>
        <v>0</v>
      </c>
      <c r="G6" s="436">
        <f t="shared" si="0"/>
        <v>162399049</v>
      </c>
      <c r="H6" s="436">
        <f t="shared" si="0"/>
        <v>17794408.272654351</v>
      </c>
      <c r="I6" s="436">
        <f t="shared" si="0"/>
        <v>124043866</v>
      </c>
      <c r="J6" s="436">
        <f t="shared" si="0"/>
        <v>11048436.47378755</v>
      </c>
      <c r="K6" s="436">
        <f t="shared" si="0"/>
        <v>0</v>
      </c>
      <c r="L6" s="436">
        <f t="shared" si="0"/>
        <v>0</v>
      </c>
      <c r="M6" s="436">
        <f t="shared" si="0"/>
        <v>0</v>
      </c>
      <c r="N6" s="436">
        <f t="shared" si="0"/>
        <v>0</v>
      </c>
      <c r="O6" s="436">
        <f t="shared" si="0"/>
        <v>286494897</v>
      </c>
      <c r="P6" s="436">
        <f>SUM(P7:P21)</f>
        <v>28847662.821367726</v>
      </c>
      <c r="Q6" s="405">
        <f>Q17</f>
        <v>248</v>
      </c>
      <c r="R6" s="405">
        <f>R17</f>
        <v>28.25</v>
      </c>
    </row>
    <row r="7" spans="1:18" s="24" customFormat="1" ht="15" customHeight="1">
      <c r="A7" s="437" t="s">
        <v>60</v>
      </c>
      <c r="B7" s="438">
        <v>18</v>
      </c>
      <c r="C7" s="419">
        <v>962</v>
      </c>
      <c r="D7" s="419">
        <v>77.77</v>
      </c>
      <c r="E7" s="419">
        <v>0</v>
      </c>
      <c r="F7" s="419">
        <v>0</v>
      </c>
      <c r="G7" s="439">
        <v>995903</v>
      </c>
      <c r="H7" s="419">
        <v>87578.38</v>
      </c>
      <c r="I7" s="439">
        <v>309028</v>
      </c>
      <c r="J7" s="419">
        <v>21493.72</v>
      </c>
      <c r="K7" s="419">
        <v>0</v>
      </c>
      <c r="L7" s="419">
        <v>0</v>
      </c>
      <c r="M7" s="419">
        <v>0</v>
      </c>
      <c r="N7" s="419">
        <v>0</v>
      </c>
      <c r="O7" s="439">
        <v>1305893</v>
      </c>
      <c r="P7" s="439">
        <v>109149.87</v>
      </c>
      <c r="Q7" s="411">
        <v>2407</v>
      </c>
      <c r="R7" s="411">
        <v>202.9</v>
      </c>
    </row>
    <row r="8" spans="1:18" s="24" customFormat="1" ht="15" customHeight="1">
      <c r="A8" s="437" t="s">
        <v>59</v>
      </c>
      <c r="B8" s="438">
        <v>19</v>
      </c>
      <c r="C8" s="419">
        <v>4144</v>
      </c>
      <c r="D8" s="419">
        <v>326.38</v>
      </c>
      <c r="E8" s="419">
        <v>0</v>
      </c>
      <c r="F8" s="419">
        <v>0</v>
      </c>
      <c r="G8" s="439">
        <v>1218595</v>
      </c>
      <c r="H8" s="439">
        <v>107799.6</v>
      </c>
      <c r="I8" s="439">
        <v>142492</v>
      </c>
      <c r="J8" s="419">
        <v>9623.57</v>
      </c>
      <c r="K8" s="419">
        <v>0</v>
      </c>
      <c r="L8" s="419">
        <v>0</v>
      </c>
      <c r="M8" s="419">
        <v>0</v>
      </c>
      <c r="N8" s="419">
        <v>0</v>
      </c>
      <c r="O8" s="439">
        <v>1365231</v>
      </c>
      <c r="P8" s="439">
        <v>117749.55</v>
      </c>
      <c r="Q8" s="411">
        <v>971</v>
      </c>
      <c r="R8" s="411">
        <v>78.709999999999994</v>
      </c>
    </row>
    <row r="9" spans="1:18" s="24" customFormat="1" ht="15" customHeight="1">
      <c r="A9" s="437" t="s">
        <v>310</v>
      </c>
      <c r="B9" s="438">
        <v>22</v>
      </c>
      <c r="C9" s="419">
        <v>1747</v>
      </c>
      <c r="D9" s="419">
        <v>145.84</v>
      </c>
      <c r="E9" s="419">
        <v>0</v>
      </c>
      <c r="F9" s="419">
        <v>0</v>
      </c>
      <c r="G9" s="419">
        <v>106</v>
      </c>
      <c r="H9" s="419">
        <v>8.98</v>
      </c>
      <c r="I9" s="419">
        <v>0</v>
      </c>
      <c r="J9" s="419">
        <v>0</v>
      </c>
      <c r="K9" s="419">
        <v>0</v>
      </c>
      <c r="L9" s="419">
        <v>0</v>
      </c>
      <c r="M9" s="419">
        <v>0</v>
      </c>
      <c r="N9" s="419">
        <v>0</v>
      </c>
      <c r="O9" s="419">
        <v>1853</v>
      </c>
      <c r="P9" s="419">
        <v>154.82</v>
      </c>
      <c r="Q9" s="411">
        <v>81</v>
      </c>
      <c r="R9" s="411">
        <v>6.54</v>
      </c>
    </row>
    <row r="10" spans="1:18" s="24" customFormat="1" ht="14.25" customHeight="1">
      <c r="A10" s="437" t="s">
        <v>356</v>
      </c>
      <c r="B10" s="438">
        <v>23</v>
      </c>
      <c r="C10" s="419">
        <v>7735</v>
      </c>
      <c r="D10" s="419">
        <v>663.89</v>
      </c>
      <c r="E10" s="419">
        <v>0</v>
      </c>
      <c r="F10" s="419">
        <v>0</v>
      </c>
      <c r="G10" s="439">
        <v>3256827</v>
      </c>
      <c r="H10" s="439">
        <v>297616.75</v>
      </c>
      <c r="I10" s="439">
        <v>3893948</v>
      </c>
      <c r="J10" s="439">
        <v>304232.15000000002</v>
      </c>
      <c r="K10" s="419">
        <v>0</v>
      </c>
      <c r="L10" s="419">
        <v>0</v>
      </c>
      <c r="M10" s="419">
        <v>0</v>
      </c>
      <c r="N10" s="419">
        <v>0</v>
      </c>
      <c r="O10" s="439">
        <v>7158510</v>
      </c>
      <c r="P10" s="439">
        <v>602512.78</v>
      </c>
      <c r="Q10" s="411">
        <v>4045</v>
      </c>
      <c r="R10" s="411">
        <v>352.49</v>
      </c>
    </row>
    <row r="11" spans="1:18" s="24" customFormat="1" ht="15" customHeight="1">
      <c r="A11" s="437" t="s">
        <v>384</v>
      </c>
      <c r="B11" s="438">
        <v>21</v>
      </c>
      <c r="C11" s="419">
        <v>6025</v>
      </c>
      <c r="D11" s="419">
        <v>536.5</v>
      </c>
      <c r="E11" s="419">
        <v>0</v>
      </c>
      <c r="F11" s="419">
        <v>0</v>
      </c>
      <c r="G11" s="440">
        <v>11023986</v>
      </c>
      <c r="H11" s="439">
        <v>1047508</v>
      </c>
      <c r="I11" s="440">
        <v>10361093</v>
      </c>
      <c r="J11" s="439">
        <v>800072.42</v>
      </c>
      <c r="K11" s="419">
        <v>0</v>
      </c>
      <c r="L11" s="419">
        <v>0</v>
      </c>
      <c r="M11" s="419">
        <v>0</v>
      </c>
      <c r="N11" s="419">
        <v>0</v>
      </c>
      <c r="O11" s="440">
        <v>21391104</v>
      </c>
      <c r="P11" s="439">
        <v>1848116.92</v>
      </c>
      <c r="Q11" s="411">
        <v>8217</v>
      </c>
      <c r="R11" s="411">
        <v>735.07</v>
      </c>
    </row>
    <row r="12" spans="1:18" s="24" customFormat="1" ht="15" customHeight="1">
      <c r="A12" s="441">
        <v>44075</v>
      </c>
      <c r="B12" s="438">
        <v>22</v>
      </c>
      <c r="C12" s="419">
        <v>8832</v>
      </c>
      <c r="D12" s="419">
        <v>786.64434974999995</v>
      </c>
      <c r="E12" s="419">
        <v>0</v>
      </c>
      <c r="F12" s="419">
        <v>0</v>
      </c>
      <c r="G12" s="440">
        <v>20820481</v>
      </c>
      <c r="H12" s="439">
        <v>1992957.1291642999</v>
      </c>
      <c r="I12" s="439">
        <v>8975662</v>
      </c>
      <c r="J12" s="439">
        <v>732822.87558186997</v>
      </c>
      <c r="K12" s="419">
        <v>0</v>
      </c>
      <c r="L12" s="419">
        <v>0</v>
      </c>
      <c r="M12" s="419">
        <v>0</v>
      </c>
      <c r="N12" s="419">
        <v>0</v>
      </c>
      <c r="O12" s="440">
        <v>29804975</v>
      </c>
      <c r="P12" s="439">
        <v>2726566.6490958999</v>
      </c>
      <c r="Q12" s="411">
        <v>3589</v>
      </c>
      <c r="R12" s="411">
        <v>318.18584564999998</v>
      </c>
    </row>
    <row r="13" spans="1:18" s="24" customFormat="1" ht="15" customHeight="1">
      <c r="A13" s="441" t="s">
        <v>392</v>
      </c>
      <c r="B13" s="438">
        <v>21</v>
      </c>
      <c r="C13" s="419">
        <v>7543</v>
      </c>
      <c r="D13" s="419">
        <v>699.61081987499995</v>
      </c>
      <c r="E13" s="419">
        <v>0</v>
      </c>
      <c r="F13" s="419">
        <v>0</v>
      </c>
      <c r="G13" s="440">
        <v>17657324</v>
      </c>
      <c r="H13" s="439">
        <v>1740130.1174258001</v>
      </c>
      <c r="I13" s="440">
        <v>20007431</v>
      </c>
      <c r="J13" s="439">
        <v>1651682.5274876</v>
      </c>
      <c r="K13" s="419">
        <v>0</v>
      </c>
      <c r="L13" s="419">
        <v>0</v>
      </c>
      <c r="M13" s="419">
        <v>0</v>
      </c>
      <c r="N13" s="419">
        <v>0</v>
      </c>
      <c r="O13" s="440">
        <v>37672298</v>
      </c>
      <c r="P13" s="439">
        <v>3392512.2557333</v>
      </c>
      <c r="Q13" s="411">
        <v>3842</v>
      </c>
      <c r="R13" s="411">
        <v>351.4300452</v>
      </c>
    </row>
    <row r="14" spans="1:18" s="24" customFormat="1" ht="15" customHeight="1">
      <c r="A14" s="441" t="s">
        <v>396</v>
      </c>
      <c r="B14" s="438">
        <v>20</v>
      </c>
      <c r="C14" s="419">
        <v>5748</v>
      </c>
      <c r="D14" s="419">
        <v>565.25771474999999</v>
      </c>
      <c r="E14" s="419">
        <v>0</v>
      </c>
      <c r="F14" s="419">
        <v>0</v>
      </c>
      <c r="G14" s="440">
        <v>18012565</v>
      </c>
      <c r="H14" s="439">
        <v>1882107.5637693999</v>
      </c>
      <c r="I14" s="440">
        <v>28781217</v>
      </c>
      <c r="J14" s="439">
        <v>2495821.6426856001</v>
      </c>
      <c r="K14" s="419">
        <v>0</v>
      </c>
      <c r="L14" s="419">
        <v>0</v>
      </c>
      <c r="M14" s="419">
        <v>0</v>
      </c>
      <c r="N14" s="419">
        <v>0</v>
      </c>
      <c r="O14" s="440">
        <v>46799530</v>
      </c>
      <c r="P14" s="439">
        <v>4378494.4641696997</v>
      </c>
      <c r="Q14" s="411">
        <v>4575</v>
      </c>
      <c r="R14" s="411">
        <v>1393.761054375</v>
      </c>
    </row>
    <row r="15" spans="1:18" s="24" customFormat="1" ht="15" customHeight="1">
      <c r="A15" s="441">
        <v>44169</v>
      </c>
      <c r="B15" s="438">
        <v>22</v>
      </c>
      <c r="C15" s="419">
        <v>4575</v>
      </c>
      <c r="D15" s="419">
        <v>483.85506937500003</v>
      </c>
      <c r="E15" s="419">
        <v>0</v>
      </c>
      <c r="F15" s="419">
        <v>0</v>
      </c>
      <c r="G15" s="440">
        <v>25477518</v>
      </c>
      <c r="H15" s="439">
        <v>2872454.9886502498</v>
      </c>
      <c r="I15" s="440">
        <v>22446596</v>
      </c>
      <c r="J15" s="439">
        <v>2029265.8182494999</v>
      </c>
      <c r="K15" s="419">
        <v>0</v>
      </c>
      <c r="L15" s="419">
        <v>0</v>
      </c>
      <c r="M15" s="419">
        <v>0</v>
      </c>
      <c r="N15" s="419">
        <v>0</v>
      </c>
      <c r="O15" s="440">
        <v>47928689</v>
      </c>
      <c r="P15" s="439">
        <v>4902204.6619691253</v>
      </c>
      <c r="Q15" s="411">
        <v>1599</v>
      </c>
      <c r="R15" s="411">
        <v>175.577515425</v>
      </c>
    </row>
    <row r="16" spans="1:18" s="24" customFormat="1" ht="15" customHeight="1">
      <c r="A16" s="441">
        <v>44200</v>
      </c>
      <c r="B16" s="438">
        <v>20</v>
      </c>
      <c r="C16" s="419">
        <v>3087</v>
      </c>
      <c r="D16" s="419">
        <v>347.2330455</v>
      </c>
      <c r="E16" s="419">
        <v>0</v>
      </c>
      <c r="F16" s="419">
        <v>0</v>
      </c>
      <c r="G16" s="440">
        <v>34884632</v>
      </c>
      <c r="H16" s="439">
        <v>4143156.6702731</v>
      </c>
      <c r="I16" s="440">
        <v>7624305</v>
      </c>
      <c r="J16" s="439">
        <v>789525.38762437995</v>
      </c>
      <c r="K16" s="419">
        <v>0</v>
      </c>
      <c r="L16" s="419">
        <v>0</v>
      </c>
      <c r="M16" s="419">
        <v>0</v>
      </c>
      <c r="N16" s="419">
        <v>0</v>
      </c>
      <c r="O16" s="440">
        <v>42512024</v>
      </c>
      <c r="P16" s="439">
        <v>4933029.2909430005</v>
      </c>
      <c r="Q16" s="411">
        <v>4013</v>
      </c>
      <c r="R16" s="411">
        <v>430.02405075000001</v>
      </c>
    </row>
    <row r="17" spans="1:18" s="24" customFormat="1" ht="15" customHeight="1">
      <c r="A17" s="441">
        <v>44231</v>
      </c>
      <c r="B17" s="438">
        <v>20</v>
      </c>
      <c r="C17" s="419">
        <v>1584</v>
      </c>
      <c r="D17" s="419">
        <v>185.10392662500001</v>
      </c>
      <c r="E17" s="419">
        <v>0</v>
      </c>
      <c r="F17" s="419">
        <v>0</v>
      </c>
      <c r="G17" s="440">
        <v>29051112</v>
      </c>
      <c r="H17" s="439">
        <v>3623090.0933714998</v>
      </c>
      <c r="I17" s="440">
        <v>21502094</v>
      </c>
      <c r="J17" s="439">
        <v>2213896.3621585998</v>
      </c>
      <c r="K17" s="419">
        <v>0</v>
      </c>
      <c r="L17" s="419">
        <v>0</v>
      </c>
      <c r="M17" s="419">
        <v>0</v>
      </c>
      <c r="N17" s="419">
        <v>0</v>
      </c>
      <c r="O17" s="440">
        <v>50554790</v>
      </c>
      <c r="P17" s="439">
        <v>5837171.5594567005</v>
      </c>
      <c r="Q17" s="411">
        <v>248</v>
      </c>
      <c r="R17" s="411">
        <v>28.25</v>
      </c>
    </row>
    <row r="18" spans="1:18" s="24" customFormat="1" ht="13.5" customHeight="1">
      <c r="A18" s="1275" t="s">
        <v>545</v>
      </c>
      <c r="B18" s="1275"/>
      <c r="C18" s="1275"/>
      <c r="D18" s="1275"/>
      <c r="E18" s="1275"/>
      <c r="F18" s="1275"/>
      <c r="G18" s="1275"/>
      <c r="H18" s="1275"/>
      <c r="I18" s="1275"/>
      <c r="J18" s="1275"/>
    </row>
    <row r="19" spans="1:18" s="24" customFormat="1" ht="13.5" customHeight="1">
      <c r="A19" s="386" t="s">
        <v>546</v>
      </c>
      <c r="B19" s="386"/>
      <c r="C19" s="386"/>
      <c r="D19" s="386"/>
      <c r="E19" s="386"/>
      <c r="F19" s="386"/>
      <c r="G19" s="386"/>
      <c r="H19" s="386"/>
      <c r="I19" s="386"/>
      <c r="J19" s="386"/>
    </row>
    <row r="20" spans="1:18" s="24" customFormat="1" ht="13.5" customHeight="1">
      <c r="A20" s="1235" t="s">
        <v>1173</v>
      </c>
      <c r="B20" s="1235"/>
      <c r="C20" s="1235"/>
      <c r="D20" s="1235"/>
      <c r="E20" s="1235"/>
      <c r="F20" s="1235"/>
      <c r="G20" s="1235"/>
      <c r="H20" s="1235"/>
      <c r="I20" s="1235"/>
      <c r="J20" s="1235"/>
    </row>
    <row r="21" spans="1:18" s="24" customFormat="1">
      <c r="A21" s="1235" t="s">
        <v>155</v>
      </c>
      <c r="B21" s="1235"/>
      <c r="C21" s="1235"/>
      <c r="D21" s="1235"/>
      <c r="E21" s="1235"/>
      <c r="F21" s="1235"/>
      <c r="G21" s="1235"/>
      <c r="H21" s="1235"/>
      <c r="I21" s="1235"/>
      <c r="J21" s="1235"/>
    </row>
  </sheetData>
  <mergeCells count="16">
    <mergeCell ref="A21:J21"/>
    <mergeCell ref="A1:R1"/>
    <mergeCell ref="A2:A4"/>
    <mergeCell ref="B2:B4"/>
    <mergeCell ref="C2:D3"/>
    <mergeCell ref="E2:F3"/>
    <mergeCell ref="G2:J2"/>
    <mergeCell ref="K2:N2"/>
    <mergeCell ref="O2:P3"/>
    <mergeCell ref="Q2:R3"/>
    <mergeCell ref="G3:H3"/>
    <mergeCell ref="I3:J3"/>
    <mergeCell ref="K3:L3"/>
    <mergeCell ref="M3:N3"/>
    <mergeCell ref="A18:J18"/>
    <mergeCell ref="A20:J2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24"/>
  <sheetViews>
    <sheetView zoomScale="85" zoomScaleNormal="85" workbookViewId="0">
      <selection activeCell="R7" sqref="R7"/>
    </sheetView>
  </sheetViews>
  <sheetFormatPr defaultColWidth="8.85546875" defaultRowHeight="15"/>
  <cols>
    <col min="1" max="1" width="12.140625" style="21" bestFit="1" customWidth="1"/>
    <col min="2" max="2" width="12.42578125" style="21" bestFit="1" customWidth="1"/>
    <col min="3" max="4" width="13.5703125" style="21" bestFit="1" customWidth="1"/>
    <col min="5" max="5" width="14.5703125" style="21" bestFit="1" customWidth="1"/>
    <col min="6" max="6" width="13.5703125" style="21" bestFit="1" customWidth="1"/>
    <col min="7" max="7" width="16.42578125" style="21" bestFit="1" customWidth="1"/>
    <col min="8" max="8" width="15.5703125" style="21" bestFit="1" customWidth="1"/>
    <col min="9" max="9" width="16.85546875" style="21" bestFit="1" customWidth="1"/>
    <col min="10" max="10" width="13.5703125" style="21" bestFit="1" customWidth="1"/>
    <col min="11" max="11" width="14.5703125" style="21" bestFit="1" customWidth="1"/>
    <col min="12" max="14" width="13.5703125" style="21" bestFit="1" customWidth="1"/>
    <col min="15" max="15" width="16" style="21" bestFit="1" customWidth="1"/>
    <col min="16" max="16" width="15.42578125" style="21" bestFit="1" customWidth="1"/>
    <col min="17" max="18" width="13.42578125" style="21" bestFit="1" customWidth="1"/>
    <col min="19" max="19" width="5" style="21" bestFit="1" customWidth="1"/>
    <col min="20" max="16384" width="8.85546875" style="21"/>
  </cols>
  <sheetData>
    <row r="1" spans="1:18">
      <c r="A1" s="1275" t="s">
        <v>547</v>
      </c>
      <c r="B1" s="1275"/>
      <c r="C1" s="1275"/>
      <c r="D1" s="1275"/>
      <c r="E1" s="1275"/>
      <c r="F1" s="1275"/>
      <c r="G1" s="1275"/>
      <c r="H1" s="1275"/>
      <c r="I1" s="1275"/>
      <c r="J1" s="1275"/>
      <c r="K1" s="1275"/>
      <c r="L1" s="1275"/>
      <c r="M1" s="1275"/>
      <c r="N1" s="1275"/>
    </row>
    <row r="2" spans="1:18" s="24" customFormat="1">
      <c r="A2" s="1315" t="s">
        <v>534</v>
      </c>
      <c r="B2" s="1315" t="s">
        <v>111</v>
      </c>
      <c r="C2" s="1317" t="s">
        <v>535</v>
      </c>
      <c r="D2" s="1318"/>
      <c r="E2" s="1317" t="s">
        <v>536</v>
      </c>
      <c r="F2" s="1318"/>
      <c r="G2" s="1321" t="s">
        <v>537</v>
      </c>
      <c r="H2" s="1322"/>
      <c r="I2" s="1322"/>
      <c r="J2" s="1323"/>
      <c r="K2" s="1321" t="s">
        <v>538</v>
      </c>
      <c r="L2" s="1322"/>
      <c r="M2" s="1322"/>
      <c r="N2" s="1323"/>
      <c r="O2" s="1317" t="s">
        <v>53</v>
      </c>
      <c r="P2" s="1318"/>
      <c r="Q2" s="1324" t="s">
        <v>539</v>
      </c>
      <c r="R2" s="1325"/>
    </row>
    <row r="3" spans="1:18" s="24" customFormat="1">
      <c r="A3" s="1301"/>
      <c r="B3" s="1301"/>
      <c r="C3" s="1319"/>
      <c r="D3" s="1320"/>
      <c r="E3" s="1319"/>
      <c r="F3" s="1320"/>
      <c r="G3" s="1321" t="s">
        <v>540</v>
      </c>
      <c r="H3" s="1323"/>
      <c r="I3" s="1321" t="s">
        <v>541</v>
      </c>
      <c r="J3" s="1323"/>
      <c r="K3" s="1321" t="s">
        <v>540</v>
      </c>
      <c r="L3" s="1323"/>
      <c r="M3" s="1321" t="s">
        <v>541</v>
      </c>
      <c r="N3" s="1323"/>
      <c r="O3" s="1319"/>
      <c r="P3" s="1320"/>
      <c r="Q3" s="1326"/>
      <c r="R3" s="1327"/>
    </row>
    <row r="4" spans="1:18" s="24" customFormat="1" ht="30">
      <c r="A4" s="1316"/>
      <c r="B4" s="1316"/>
      <c r="C4" s="432" t="s">
        <v>542</v>
      </c>
      <c r="D4" s="432" t="s">
        <v>543</v>
      </c>
      <c r="E4" s="432" t="s">
        <v>542</v>
      </c>
      <c r="F4" s="432" t="s">
        <v>543</v>
      </c>
      <c r="G4" s="432" t="s">
        <v>542</v>
      </c>
      <c r="H4" s="432" t="s">
        <v>543</v>
      </c>
      <c r="I4" s="432" t="s">
        <v>542</v>
      </c>
      <c r="J4" s="432" t="s">
        <v>543</v>
      </c>
      <c r="K4" s="432" t="s">
        <v>542</v>
      </c>
      <c r="L4" s="432" t="s">
        <v>543</v>
      </c>
      <c r="M4" s="432" t="s">
        <v>542</v>
      </c>
      <c r="N4" s="432" t="s">
        <v>543</v>
      </c>
      <c r="O4" s="432" t="s">
        <v>542</v>
      </c>
      <c r="P4" s="432" t="s">
        <v>543</v>
      </c>
      <c r="Q4" s="432" t="s">
        <v>542</v>
      </c>
      <c r="R4" s="432" t="s">
        <v>543</v>
      </c>
    </row>
    <row r="5" spans="1:18" s="25" customFormat="1">
      <c r="A5" s="339" t="s">
        <v>58</v>
      </c>
      <c r="B5" s="340">
        <v>247</v>
      </c>
      <c r="C5" s="340">
        <v>94472538</v>
      </c>
      <c r="D5" s="340">
        <v>6677312.0489999996</v>
      </c>
      <c r="E5" s="340">
        <v>256643910</v>
      </c>
      <c r="F5" s="340">
        <v>14874729.23</v>
      </c>
      <c r="G5" s="340">
        <v>2480471005</v>
      </c>
      <c r="H5" s="340">
        <v>169696653.69999999</v>
      </c>
      <c r="I5" s="340">
        <v>2095899292</v>
      </c>
      <c r="J5" s="340">
        <v>140995315.59999999</v>
      </c>
      <c r="K5" s="340">
        <v>125587962</v>
      </c>
      <c r="L5" s="340">
        <v>8003236.6960000005</v>
      </c>
      <c r="M5" s="340">
        <v>72247170</v>
      </c>
      <c r="N5" s="340">
        <v>4285644.5180000002</v>
      </c>
      <c r="O5" s="340">
        <v>5125321877</v>
      </c>
      <c r="P5" s="340">
        <v>344532891.80000001</v>
      </c>
      <c r="Q5" s="340">
        <v>3162958</v>
      </c>
      <c r="R5" s="340">
        <v>163121.89000000001</v>
      </c>
    </row>
    <row r="6" spans="1:18" s="25" customFormat="1">
      <c r="A6" s="339" t="s">
        <v>61</v>
      </c>
      <c r="B6" s="340">
        <f>SUM(B7:B22)</f>
        <v>228</v>
      </c>
      <c r="C6" s="340">
        <f>SUM(C7:C22)</f>
        <v>118243827</v>
      </c>
      <c r="D6" s="340">
        <f t="shared" ref="D6:O6" si="0">SUM(D7:D22)</f>
        <v>8134446.3041000003</v>
      </c>
      <c r="E6" s="340">
        <f t="shared" si="0"/>
        <v>234836446</v>
      </c>
      <c r="F6" s="340">
        <f t="shared" si="0"/>
        <v>16453087.8266</v>
      </c>
      <c r="G6" s="340">
        <f t="shared" si="0"/>
        <v>3592139166</v>
      </c>
      <c r="H6" s="340">
        <f t="shared" si="0"/>
        <v>263437196.18000001</v>
      </c>
      <c r="I6" s="340">
        <f t="shared" si="0"/>
        <v>3324207244</v>
      </c>
      <c r="J6" s="340">
        <f t="shared" si="0"/>
        <v>239007702.33899999</v>
      </c>
      <c r="K6" s="340">
        <f t="shared" si="0"/>
        <v>203097146</v>
      </c>
      <c r="L6" s="340">
        <f t="shared" si="0"/>
        <v>16417790.320400001</v>
      </c>
      <c r="M6" s="340">
        <f t="shared" si="0"/>
        <v>95447018</v>
      </c>
      <c r="N6" s="340">
        <f t="shared" si="0"/>
        <v>6963010.0032999991</v>
      </c>
      <c r="O6" s="340">
        <f t="shared" si="0"/>
        <v>7567970847</v>
      </c>
      <c r="P6" s="340">
        <f>SUM(P7:P22)</f>
        <v>550413232.96000004</v>
      </c>
      <c r="Q6" s="340">
        <f>Q17</f>
        <v>5102176</v>
      </c>
      <c r="R6" s="340">
        <f>R17</f>
        <v>480454.44</v>
      </c>
    </row>
    <row r="7" spans="1:18" s="24" customFormat="1">
      <c r="A7" s="351" t="s">
        <v>60</v>
      </c>
      <c r="B7" s="341">
        <v>18</v>
      </c>
      <c r="C7" s="341">
        <v>11339332</v>
      </c>
      <c r="D7" s="341">
        <v>594715.51879999996</v>
      </c>
      <c r="E7" s="341">
        <v>19476580</v>
      </c>
      <c r="F7" s="341">
        <v>954968.99560000002</v>
      </c>
      <c r="G7" s="341">
        <v>194547845</v>
      </c>
      <c r="H7" s="341">
        <v>10077297.859999999</v>
      </c>
      <c r="I7" s="341">
        <v>170934639</v>
      </c>
      <c r="J7" s="341">
        <v>8385702.6540000001</v>
      </c>
      <c r="K7" s="341">
        <v>8039630</v>
      </c>
      <c r="L7" s="341">
        <v>446624.89990000002</v>
      </c>
      <c r="M7" s="341">
        <v>4593986</v>
      </c>
      <c r="N7" s="341">
        <v>224068.50750000001</v>
      </c>
      <c r="O7" s="341">
        <v>408932012</v>
      </c>
      <c r="P7" s="341">
        <v>20683378.43</v>
      </c>
      <c r="Q7" s="341">
        <v>2874264</v>
      </c>
      <c r="R7" s="341">
        <v>170257.67</v>
      </c>
    </row>
    <row r="8" spans="1:18" s="24" customFormat="1">
      <c r="A8" s="351" t="s">
        <v>59</v>
      </c>
      <c r="B8" s="341">
        <v>19</v>
      </c>
      <c r="C8" s="341">
        <v>12843909</v>
      </c>
      <c r="D8" s="341">
        <v>640625.01850000001</v>
      </c>
      <c r="E8" s="341">
        <v>22573353</v>
      </c>
      <c r="F8" s="341">
        <v>1118023.5830000001</v>
      </c>
      <c r="G8" s="341">
        <v>247931778</v>
      </c>
      <c r="H8" s="341">
        <v>12205317.18</v>
      </c>
      <c r="I8" s="341">
        <v>211059297</v>
      </c>
      <c r="J8" s="341">
        <v>9947263.2349999994</v>
      </c>
      <c r="K8" s="341">
        <v>10850597</v>
      </c>
      <c r="L8" s="341">
        <v>613231.52850000001</v>
      </c>
      <c r="M8" s="341">
        <v>6115405</v>
      </c>
      <c r="N8" s="341">
        <v>307470.4877</v>
      </c>
      <c r="O8" s="341">
        <v>511374339</v>
      </c>
      <c r="P8" s="341">
        <v>24831931.030000001</v>
      </c>
      <c r="Q8" s="341">
        <v>3707494</v>
      </c>
      <c r="R8" s="341">
        <v>207782.64</v>
      </c>
    </row>
    <row r="9" spans="1:18" s="24" customFormat="1">
      <c r="A9" s="351" t="s">
        <v>310</v>
      </c>
      <c r="B9" s="341">
        <v>22</v>
      </c>
      <c r="C9" s="341">
        <v>15478384</v>
      </c>
      <c r="D9" s="341">
        <v>859740.79729999998</v>
      </c>
      <c r="E9" s="341">
        <v>26276560</v>
      </c>
      <c r="F9" s="341">
        <v>1455365.7320000001</v>
      </c>
      <c r="G9" s="341">
        <v>315751153</v>
      </c>
      <c r="H9" s="341">
        <v>17914117.940000001</v>
      </c>
      <c r="I9" s="341">
        <v>274665301</v>
      </c>
      <c r="J9" s="341">
        <v>14986695.93</v>
      </c>
      <c r="K9" s="341">
        <v>16288049</v>
      </c>
      <c r="L9" s="341">
        <v>1004821.518</v>
      </c>
      <c r="M9" s="341">
        <v>8934064</v>
      </c>
      <c r="N9" s="341">
        <v>489038.42219999997</v>
      </c>
      <c r="O9" s="341">
        <v>657393511</v>
      </c>
      <c r="P9" s="341">
        <v>36709780.340000004</v>
      </c>
      <c r="Q9" s="341">
        <v>4366903</v>
      </c>
      <c r="R9" s="341">
        <v>287861.11</v>
      </c>
    </row>
    <row r="10" spans="1:18" s="24" customFormat="1">
      <c r="A10" s="351" t="s">
        <v>356</v>
      </c>
      <c r="B10" s="341">
        <v>23</v>
      </c>
      <c r="C10" s="341">
        <v>11772248</v>
      </c>
      <c r="D10" s="341">
        <v>777191.33360000001</v>
      </c>
      <c r="E10" s="341">
        <v>22710216</v>
      </c>
      <c r="F10" s="341">
        <v>1574937.3559999999</v>
      </c>
      <c r="G10" s="341">
        <v>352353120</v>
      </c>
      <c r="H10" s="341">
        <v>21236714.829999998</v>
      </c>
      <c r="I10" s="341">
        <v>306566670</v>
      </c>
      <c r="J10" s="341">
        <v>18239374.289999999</v>
      </c>
      <c r="K10" s="341">
        <v>18843923</v>
      </c>
      <c r="L10" s="341">
        <v>1466518.213</v>
      </c>
      <c r="M10" s="341">
        <v>8956614</v>
      </c>
      <c r="N10" s="341">
        <v>640972.45660000003</v>
      </c>
      <c r="O10" s="341">
        <v>721202791</v>
      </c>
      <c r="P10" s="341">
        <v>43935708.490000002</v>
      </c>
      <c r="Q10" s="341">
        <v>4086465</v>
      </c>
      <c r="R10" s="341">
        <v>295273.53000000003</v>
      </c>
    </row>
    <row r="11" spans="1:18" s="24" customFormat="1">
      <c r="A11" s="351" t="s">
        <v>384</v>
      </c>
      <c r="B11" s="341">
        <v>21</v>
      </c>
      <c r="C11" s="341">
        <v>9211071</v>
      </c>
      <c r="D11" s="341">
        <v>621182.59080000001</v>
      </c>
      <c r="E11" s="341">
        <v>20582172</v>
      </c>
      <c r="F11" s="341">
        <v>1478175.953</v>
      </c>
      <c r="G11" s="341">
        <v>272955256</v>
      </c>
      <c r="H11" s="341">
        <v>18650461.920000002</v>
      </c>
      <c r="I11" s="341">
        <v>248776124</v>
      </c>
      <c r="J11" s="341">
        <v>16724302.85</v>
      </c>
      <c r="K11" s="341">
        <v>17535138</v>
      </c>
      <c r="L11" s="341">
        <v>1370741.004</v>
      </c>
      <c r="M11" s="341">
        <v>8110037</v>
      </c>
      <c r="N11" s="341">
        <v>584505.17619999999</v>
      </c>
      <c r="O11" s="341">
        <v>577169798</v>
      </c>
      <c r="P11" s="341">
        <v>39429369.490000002</v>
      </c>
      <c r="Q11" s="341">
        <v>4589201</v>
      </c>
      <c r="R11" s="341">
        <v>340564.43</v>
      </c>
    </row>
    <row r="12" spans="1:18" s="24" customFormat="1">
      <c r="A12" s="344" t="s">
        <v>386</v>
      </c>
      <c r="B12" s="341">
        <v>22</v>
      </c>
      <c r="C12" s="341">
        <v>11161701</v>
      </c>
      <c r="D12" s="341">
        <v>740669.28419999999</v>
      </c>
      <c r="E12" s="341">
        <v>20622408</v>
      </c>
      <c r="F12" s="341">
        <v>1535447.6340000001</v>
      </c>
      <c r="G12" s="341">
        <v>335641868</v>
      </c>
      <c r="H12" s="341">
        <v>22765319.579999998</v>
      </c>
      <c r="I12" s="341">
        <v>306427676</v>
      </c>
      <c r="J12" s="341">
        <v>20183965.609999999</v>
      </c>
      <c r="K12" s="341">
        <v>18581654</v>
      </c>
      <c r="L12" s="341">
        <v>1577042.183</v>
      </c>
      <c r="M12" s="341">
        <v>8457379</v>
      </c>
      <c r="N12" s="341">
        <v>652074.08499999996</v>
      </c>
      <c r="O12" s="341">
        <v>700892686</v>
      </c>
      <c r="P12" s="341">
        <v>47454518.380000003</v>
      </c>
      <c r="Q12" s="341">
        <v>5135777</v>
      </c>
      <c r="R12" s="341">
        <v>370433.46</v>
      </c>
    </row>
    <row r="13" spans="1:18" s="24" customFormat="1">
      <c r="A13" s="344" t="s">
        <v>392</v>
      </c>
      <c r="B13" s="341">
        <v>21</v>
      </c>
      <c r="C13" s="341">
        <v>10631893</v>
      </c>
      <c r="D13" s="341">
        <v>739099.33589999995</v>
      </c>
      <c r="E13" s="341">
        <v>19384435</v>
      </c>
      <c r="F13" s="341">
        <v>1446063.754</v>
      </c>
      <c r="G13" s="341">
        <v>382280696</v>
      </c>
      <c r="H13" s="341">
        <v>27046687.93</v>
      </c>
      <c r="I13" s="341">
        <v>346958115</v>
      </c>
      <c r="J13" s="341">
        <v>23856847.190000001</v>
      </c>
      <c r="K13" s="341">
        <v>18552773</v>
      </c>
      <c r="L13" s="341">
        <v>1545489.7760000001</v>
      </c>
      <c r="M13" s="341">
        <v>8585986</v>
      </c>
      <c r="N13" s="341">
        <v>647436.28520000004</v>
      </c>
      <c r="O13" s="341">
        <v>786393898</v>
      </c>
      <c r="P13" s="341">
        <v>55281624.270000003</v>
      </c>
      <c r="Q13" s="341">
        <v>4190150</v>
      </c>
      <c r="R13" s="341">
        <v>306997.98</v>
      </c>
    </row>
    <row r="14" spans="1:18" s="24" customFormat="1">
      <c r="A14" s="344" t="s">
        <v>396</v>
      </c>
      <c r="B14" s="341">
        <v>20</v>
      </c>
      <c r="C14" s="341">
        <v>10516563</v>
      </c>
      <c r="D14" s="341">
        <v>826340.60530000005</v>
      </c>
      <c r="E14" s="341">
        <v>20751860</v>
      </c>
      <c r="F14" s="341">
        <v>1543447.0970000001</v>
      </c>
      <c r="G14" s="341">
        <v>344923632</v>
      </c>
      <c r="H14" s="341">
        <v>27619539.699999999</v>
      </c>
      <c r="I14" s="341">
        <v>316563228</v>
      </c>
      <c r="J14" s="341">
        <v>24575846.579999998</v>
      </c>
      <c r="K14" s="341">
        <v>19887191</v>
      </c>
      <c r="L14" s="341">
        <v>1609765.8770000001</v>
      </c>
      <c r="M14" s="341">
        <v>9562043</v>
      </c>
      <c r="N14" s="341">
        <v>714625.48540000001</v>
      </c>
      <c r="O14" s="341">
        <v>722204517</v>
      </c>
      <c r="P14" s="341">
        <v>56889565.340000004</v>
      </c>
      <c r="Q14" s="341">
        <v>4595869</v>
      </c>
      <c r="R14" s="341">
        <v>384434.03</v>
      </c>
    </row>
    <row r="15" spans="1:18" s="24" customFormat="1">
      <c r="A15" s="344">
        <v>44166</v>
      </c>
      <c r="B15" s="341">
        <v>22</v>
      </c>
      <c r="C15" s="341">
        <v>7989064</v>
      </c>
      <c r="D15" s="341">
        <v>691462.67009999999</v>
      </c>
      <c r="E15" s="341">
        <v>19841495</v>
      </c>
      <c r="F15" s="341">
        <v>1587988.19</v>
      </c>
      <c r="G15" s="341">
        <v>366357313</v>
      </c>
      <c r="H15" s="341">
        <v>31620338.399999999</v>
      </c>
      <c r="I15" s="341">
        <v>364950536</v>
      </c>
      <c r="J15" s="341">
        <v>30728814.829999998</v>
      </c>
      <c r="K15" s="341">
        <v>21905972</v>
      </c>
      <c r="L15" s="341">
        <v>1871224.2779999999</v>
      </c>
      <c r="M15" s="341">
        <v>9634933</v>
      </c>
      <c r="N15" s="341">
        <v>762419.63930000004</v>
      </c>
      <c r="O15" s="341">
        <v>790679313</v>
      </c>
      <c r="P15" s="341">
        <v>67262248</v>
      </c>
      <c r="Q15" s="341">
        <v>3727777</v>
      </c>
      <c r="R15" s="341">
        <v>326308.87</v>
      </c>
    </row>
    <row r="16" spans="1:18" s="24" customFormat="1">
      <c r="A16" s="344">
        <v>44197</v>
      </c>
      <c r="B16" s="341">
        <v>20</v>
      </c>
      <c r="C16" s="341">
        <v>8016190</v>
      </c>
      <c r="D16" s="341">
        <v>732707.06189999997</v>
      </c>
      <c r="E16" s="341">
        <v>20769652</v>
      </c>
      <c r="F16" s="341">
        <v>1765967.2180000001</v>
      </c>
      <c r="G16" s="341">
        <v>367928467</v>
      </c>
      <c r="H16" s="341">
        <v>33481060.23</v>
      </c>
      <c r="I16" s="341">
        <v>370662774</v>
      </c>
      <c r="J16" s="341">
        <v>32647285</v>
      </c>
      <c r="K16" s="341">
        <v>25824971</v>
      </c>
      <c r="L16" s="341">
        <v>2358050.58</v>
      </c>
      <c r="M16" s="341">
        <v>10993251</v>
      </c>
      <c r="N16" s="341">
        <v>928070.07420000003</v>
      </c>
      <c r="O16" s="341">
        <v>804195305</v>
      </c>
      <c r="P16" s="341">
        <v>71913140.159999996</v>
      </c>
      <c r="Q16" s="341">
        <v>4400984</v>
      </c>
      <c r="R16" s="341">
        <v>378480.22</v>
      </c>
    </row>
    <row r="17" spans="1:18" s="24" customFormat="1">
      <c r="A17" s="344">
        <v>44228</v>
      </c>
      <c r="B17" s="341">
        <v>20</v>
      </c>
      <c r="C17" s="341">
        <v>9283472</v>
      </c>
      <c r="D17" s="341">
        <v>910712.08770000003</v>
      </c>
      <c r="E17" s="341">
        <v>21847715</v>
      </c>
      <c r="F17" s="341">
        <v>1992702.314</v>
      </c>
      <c r="G17" s="341">
        <v>411468038</v>
      </c>
      <c r="H17" s="341">
        <v>40820340.609999999</v>
      </c>
      <c r="I17" s="341">
        <v>406642884</v>
      </c>
      <c r="J17" s="341">
        <v>38731604.170000002</v>
      </c>
      <c r="K17" s="341">
        <v>26787248</v>
      </c>
      <c r="L17" s="341">
        <v>2554280.463</v>
      </c>
      <c r="M17" s="341">
        <v>11503320</v>
      </c>
      <c r="N17" s="341">
        <v>1012329.384</v>
      </c>
      <c r="O17" s="341">
        <v>887532677</v>
      </c>
      <c r="P17" s="341">
        <v>86021969.030000001</v>
      </c>
      <c r="Q17" s="341">
        <v>5102176</v>
      </c>
      <c r="R17" s="341">
        <v>480454.44</v>
      </c>
    </row>
    <row r="18" spans="1:18" s="24" customFormat="1">
      <c r="A18" s="27" t="s">
        <v>545</v>
      </c>
      <c r="B18" s="27"/>
      <c r="C18" s="27"/>
      <c r="D18" s="27"/>
      <c r="E18" s="27"/>
      <c r="F18" s="27"/>
      <c r="G18" s="27"/>
      <c r="H18" s="27"/>
      <c r="I18" s="27"/>
      <c r="J18" s="27"/>
      <c r="K18" s="27"/>
      <c r="L18" s="27"/>
      <c r="M18" s="27"/>
      <c r="N18" s="27"/>
      <c r="O18" s="27"/>
      <c r="P18" s="27"/>
      <c r="Q18" s="27"/>
      <c r="R18" s="27"/>
    </row>
    <row r="19" spans="1:18" s="24" customFormat="1">
      <c r="A19" s="386" t="s">
        <v>546</v>
      </c>
      <c r="B19" s="386"/>
      <c r="C19" s="386"/>
      <c r="D19" s="386"/>
      <c r="E19" s="386"/>
      <c r="F19" s="386"/>
      <c r="G19" s="386"/>
      <c r="H19" s="386"/>
      <c r="I19" s="386"/>
      <c r="J19" s="386"/>
      <c r="K19" s="386"/>
      <c r="L19" s="386"/>
      <c r="M19" s="386"/>
      <c r="N19" s="386"/>
      <c r="O19" s="386"/>
      <c r="P19" s="386"/>
      <c r="Q19" s="386"/>
      <c r="R19" s="386"/>
    </row>
    <row r="20" spans="1:18" s="24" customFormat="1">
      <c r="A20" s="27" t="s">
        <v>1173</v>
      </c>
      <c r="B20" s="27"/>
      <c r="C20" s="27"/>
      <c r="D20" s="27"/>
      <c r="E20" s="27"/>
      <c r="F20" s="27"/>
      <c r="G20" s="27"/>
      <c r="H20" s="27"/>
      <c r="I20" s="27"/>
      <c r="J20" s="27"/>
      <c r="K20" s="27"/>
      <c r="L20" s="27"/>
      <c r="M20" s="27"/>
      <c r="N20" s="27"/>
      <c r="O20" s="27"/>
      <c r="P20" s="27"/>
      <c r="Q20" s="27"/>
      <c r="R20" s="27"/>
    </row>
    <row r="21" spans="1:18" s="24" customFormat="1">
      <c r="A21" s="27" t="s">
        <v>157</v>
      </c>
      <c r="B21" s="27"/>
      <c r="C21" s="27"/>
      <c r="D21" s="27"/>
      <c r="E21" s="27"/>
      <c r="F21" s="27"/>
      <c r="G21" s="27"/>
      <c r="H21" s="27"/>
      <c r="I21" s="27"/>
      <c r="J21" s="27"/>
      <c r="K21" s="27"/>
      <c r="L21" s="27"/>
      <c r="M21" s="27"/>
      <c r="N21" s="27"/>
      <c r="O21" s="27"/>
      <c r="P21" s="27"/>
      <c r="Q21" s="27"/>
      <c r="R21" s="27"/>
    </row>
    <row r="24" spans="1:18">
      <c r="B24" s="345"/>
      <c r="C24" s="345"/>
      <c r="D24" s="345"/>
      <c r="E24" s="345"/>
      <c r="F24" s="345"/>
      <c r="G24" s="345"/>
      <c r="H24" s="345"/>
      <c r="I24" s="345"/>
      <c r="J24" s="345"/>
      <c r="K24" s="345"/>
      <c r="L24" s="345"/>
      <c r="M24" s="345"/>
      <c r="N24" s="345"/>
      <c r="O24" s="345"/>
      <c r="P24" s="345"/>
      <c r="Q24" s="345"/>
      <c r="R24" s="345"/>
    </row>
  </sheetData>
  <mergeCells count="13">
    <mergeCell ref="O2:P3"/>
    <mergeCell ref="Q2:R3"/>
    <mergeCell ref="G3:H3"/>
    <mergeCell ref="I3:J3"/>
    <mergeCell ref="K3:L3"/>
    <mergeCell ref="M3:N3"/>
    <mergeCell ref="A1:N1"/>
    <mergeCell ref="A2:A4"/>
    <mergeCell ref="B2:B4"/>
    <mergeCell ref="C2:D3"/>
    <mergeCell ref="E2:F3"/>
    <mergeCell ref="G2:J2"/>
    <mergeCell ref="K2:N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21"/>
  <sheetViews>
    <sheetView zoomScaleNormal="100" workbookViewId="0">
      <selection activeCell="M8" sqref="M8"/>
    </sheetView>
  </sheetViews>
  <sheetFormatPr defaultColWidth="8.85546875" defaultRowHeight="15"/>
  <cols>
    <col min="1" max="1" width="13.42578125" style="21" bestFit="1" customWidth="1"/>
    <col min="2" max="6" width="10.7109375" style="21" bestFit="1" customWidth="1"/>
    <col min="7" max="7" width="11.28515625" style="21" bestFit="1" customWidth="1"/>
    <col min="8" max="12" width="10.7109375" style="21" bestFit="1" customWidth="1"/>
    <col min="13" max="13" width="10.85546875" style="21" bestFit="1" customWidth="1"/>
    <col min="14" max="14" width="4.7109375" style="21" bestFit="1" customWidth="1"/>
    <col min="15" max="15" width="9" style="21" bestFit="1" customWidth="1"/>
    <col min="16" max="16" width="10.140625" style="21" bestFit="1" customWidth="1"/>
    <col min="17" max="18" width="9" style="21" bestFit="1" customWidth="1"/>
    <col min="19" max="16384" width="8.85546875" style="21"/>
  </cols>
  <sheetData>
    <row r="1" spans="1:18" ht="17.25" customHeight="1">
      <c r="A1" s="1223" t="s">
        <v>548</v>
      </c>
      <c r="B1" s="1223"/>
      <c r="C1" s="1223"/>
      <c r="D1" s="1223"/>
      <c r="E1" s="1223"/>
      <c r="F1" s="1223"/>
      <c r="G1" s="1223"/>
      <c r="H1" s="1223"/>
      <c r="I1" s="1223"/>
      <c r="J1" s="1223"/>
      <c r="K1" s="1223"/>
      <c r="L1" s="1223"/>
      <c r="M1" s="1223"/>
    </row>
    <row r="2" spans="1:18" ht="17.25" customHeight="1">
      <c r="A2" s="385"/>
      <c r="B2" s="385"/>
      <c r="C2" s="385"/>
      <c r="D2" s="385"/>
      <c r="E2" s="385"/>
      <c r="F2" s="385"/>
      <c r="G2" s="385"/>
      <c r="H2" s="385"/>
      <c r="I2" s="385"/>
      <c r="J2" s="385"/>
      <c r="K2" s="385"/>
      <c r="L2" s="385"/>
      <c r="M2" s="385" t="s">
        <v>549</v>
      </c>
    </row>
    <row r="3" spans="1:18" s="22" customFormat="1" ht="17.25" customHeight="1">
      <c r="A3" s="1328" t="s">
        <v>534</v>
      </c>
      <c r="B3" s="1331" t="s">
        <v>87</v>
      </c>
      <c r="C3" s="1332"/>
      <c r="D3" s="1332"/>
      <c r="E3" s="1332"/>
      <c r="F3" s="1332"/>
      <c r="G3" s="1333"/>
      <c r="H3" s="1331" t="s">
        <v>88</v>
      </c>
      <c r="I3" s="1332"/>
      <c r="J3" s="1332"/>
      <c r="K3" s="1332"/>
      <c r="L3" s="1332"/>
      <c r="M3" s="1333"/>
    </row>
    <row r="4" spans="1:18" s="22" customFormat="1" ht="27" customHeight="1">
      <c r="A4" s="1329"/>
      <c r="B4" s="1334" t="s">
        <v>550</v>
      </c>
      <c r="C4" s="1335"/>
      <c r="D4" s="1334" t="s">
        <v>551</v>
      </c>
      <c r="E4" s="1335"/>
      <c r="F4" s="1336" t="s">
        <v>53</v>
      </c>
      <c r="G4" s="1338" t="s">
        <v>552</v>
      </c>
      <c r="H4" s="1334" t="s">
        <v>550</v>
      </c>
      <c r="I4" s="1335"/>
      <c r="J4" s="1334" t="s">
        <v>551</v>
      </c>
      <c r="K4" s="1335"/>
      <c r="L4" s="1336" t="s">
        <v>53</v>
      </c>
      <c r="M4" s="1338" t="s">
        <v>552</v>
      </c>
    </row>
    <row r="5" spans="1:18" s="22" customFormat="1" ht="42.75" customHeight="1">
      <c r="A5" s="1330"/>
      <c r="B5" s="442" t="s">
        <v>553</v>
      </c>
      <c r="C5" s="442" t="s">
        <v>554</v>
      </c>
      <c r="D5" s="442" t="s">
        <v>555</v>
      </c>
      <c r="E5" s="442" t="s">
        <v>556</v>
      </c>
      <c r="F5" s="1337"/>
      <c r="G5" s="1339"/>
      <c r="H5" s="442" t="s">
        <v>553</v>
      </c>
      <c r="I5" s="442" t="s">
        <v>554</v>
      </c>
      <c r="J5" s="442" t="s">
        <v>555</v>
      </c>
      <c r="K5" s="442" t="s">
        <v>556</v>
      </c>
      <c r="L5" s="1337"/>
      <c r="M5" s="1339"/>
    </row>
    <row r="6" spans="1:18" s="23" customFormat="1" ht="18" customHeight="1">
      <c r="A6" s="399" t="s">
        <v>58</v>
      </c>
      <c r="B6" s="405">
        <v>1778.49</v>
      </c>
      <c r="C6" s="405">
        <v>95.27</v>
      </c>
      <c r="D6" s="405">
        <v>1165.5999999999999</v>
      </c>
      <c r="E6" s="405">
        <v>10.91</v>
      </c>
      <c r="F6" s="405">
        <f>SUM(B6:E6)</f>
        <v>3050.2699999999995</v>
      </c>
      <c r="G6" s="436">
        <v>21.81</v>
      </c>
      <c r="H6" s="436">
        <v>13384.326666667001</v>
      </c>
      <c r="I6" s="436">
        <v>188.74</v>
      </c>
      <c r="J6" s="436">
        <v>2131.8208333329999</v>
      </c>
      <c r="K6" s="436">
        <v>532.07166666700004</v>
      </c>
      <c r="L6" s="436">
        <f>SUM(H6:K6)</f>
        <v>16236.959166667</v>
      </c>
      <c r="M6" s="436">
        <v>2211.84</v>
      </c>
      <c r="O6" s="443"/>
      <c r="P6" s="443"/>
      <c r="Q6" s="443"/>
      <c r="R6" s="443"/>
    </row>
    <row r="7" spans="1:18" s="23" customFormat="1" ht="18" customHeight="1">
      <c r="A7" s="399" t="s">
        <v>61</v>
      </c>
      <c r="B7" s="405">
        <f>SUM(B8:B21)</f>
        <v>7081.76</v>
      </c>
      <c r="C7" s="405">
        <f>SUM(C8:C21)</f>
        <v>248</v>
      </c>
      <c r="D7" s="405">
        <f>SUM(D8:D21)</f>
        <v>31700.820000000003</v>
      </c>
      <c r="E7" s="405">
        <f>SUM(E8:E21)</f>
        <v>87.63000000000001</v>
      </c>
      <c r="F7" s="405">
        <f>SUM(B7:E7)</f>
        <v>39118.21</v>
      </c>
      <c r="G7" s="436">
        <f>G16</f>
        <v>23.84</v>
      </c>
      <c r="H7" s="436">
        <f>SUM(H8:H21)</f>
        <v>135385.68137561498</v>
      </c>
      <c r="I7" s="436">
        <f>SUM(I8:I21)</f>
        <v>1810.9614124200002</v>
      </c>
      <c r="J7" s="436">
        <f>SUM(J8:J21)</f>
        <v>27810.002872729998</v>
      </c>
      <c r="K7" s="436">
        <f>SUM(K8:K21)</f>
        <v>5770.0966090750007</v>
      </c>
      <c r="L7" s="436">
        <f>SUM(H7:K7)</f>
        <v>170776.74226983998</v>
      </c>
      <c r="M7" s="436">
        <f>M18</f>
        <v>2473.62</v>
      </c>
      <c r="O7" s="443"/>
      <c r="P7" s="443"/>
      <c r="Q7" s="443"/>
      <c r="R7" s="443"/>
    </row>
    <row r="8" spans="1:18" s="22" customFormat="1" ht="18" customHeight="1">
      <c r="A8" s="437" t="s">
        <v>60</v>
      </c>
      <c r="B8" s="411">
        <v>135.52000000000001</v>
      </c>
      <c r="C8" s="411">
        <v>5.79</v>
      </c>
      <c r="D8" s="411">
        <v>173.72</v>
      </c>
      <c r="E8" s="411">
        <v>1.8</v>
      </c>
      <c r="F8" s="411">
        <f>SUM(B8:E8)</f>
        <v>316.83</v>
      </c>
      <c r="G8" s="419">
        <v>21.93</v>
      </c>
      <c r="H8" s="419">
        <v>15832.02</v>
      </c>
      <c r="I8" s="419">
        <v>370.66</v>
      </c>
      <c r="J8" s="419">
        <v>1809.08</v>
      </c>
      <c r="K8" s="419">
        <v>431.1</v>
      </c>
      <c r="L8" s="419">
        <f t="shared" ref="L8:L16" si="0">SUM(H8:K8)</f>
        <v>18442.86</v>
      </c>
      <c r="M8" s="419">
        <v>2231.7399999999998</v>
      </c>
      <c r="O8" s="443"/>
      <c r="P8" s="443"/>
      <c r="Q8" s="443"/>
      <c r="R8" s="443"/>
    </row>
    <row r="9" spans="1:18" s="22" customFormat="1" ht="18" customHeight="1">
      <c r="A9" s="437" t="s">
        <v>59</v>
      </c>
      <c r="B9" s="411">
        <v>123.84</v>
      </c>
      <c r="C9" s="411">
        <v>4.07</v>
      </c>
      <c r="D9" s="411">
        <v>197.23</v>
      </c>
      <c r="E9" s="411">
        <v>0.84</v>
      </c>
      <c r="F9" s="411">
        <f t="shared" ref="F9:F16" si="1">SUM(B9:E9)</f>
        <v>325.97999999999996</v>
      </c>
      <c r="G9" s="419">
        <v>22.07</v>
      </c>
      <c r="H9" s="419">
        <v>12028.16</v>
      </c>
      <c r="I9" s="419">
        <v>187.57</v>
      </c>
      <c r="J9" s="419">
        <v>1889.56</v>
      </c>
      <c r="K9" s="419">
        <v>261.08999999999997</v>
      </c>
      <c r="L9" s="419">
        <f t="shared" si="0"/>
        <v>14366.38</v>
      </c>
      <c r="M9" s="419">
        <v>2244.09</v>
      </c>
      <c r="O9" s="443"/>
      <c r="P9" s="443"/>
      <c r="Q9" s="443"/>
      <c r="R9" s="443"/>
    </row>
    <row r="10" spans="1:18" s="22" customFormat="1" ht="18" customHeight="1">
      <c r="A10" s="437" t="s">
        <v>310</v>
      </c>
      <c r="B10" s="411">
        <v>179.15</v>
      </c>
      <c r="C10" s="411">
        <v>2.75</v>
      </c>
      <c r="D10" s="411">
        <v>299.07</v>
      </c>
      <c r="E10" s="411">
        <v>2.62</v>
      </c>
      <c r="F10" s="411">
        <f t="shared" si="1"/>
        <v>483.59000000000003</v>
      </c>
      <c r="G10" s="419">
        <v>22.3</v>
      </c>
      <c r="H10" s="419">
        <v>12911.59</v>
      </c>
      <c r="I10" s="419">
        <v>74.19</v>
      </c>
      <c r="J10" s="419">
        <v>2510.98</v>
      </c>
      <c r="K10" s="419">
        <v>494.02</v>
      </c>
      <c r="L10" s="419">
        <f t="shared" si="0"/>
        <v>15990.78</v>
      </c>
      <c r="M10" s="419">
        <v>2268.39</v>
      </c>
      <c r="O10" s="443"/>
      <c r="P10" s="443"/>
      <c r="Q10" s="443"/>
      <c r="R10" s="443"/>
    </row>
    <row r="11" spans="1:18" s="22" customFormat="1" ht="18" customHeight="1">
      <c r="A11" s="437" t="s">
        <v>356</v>
      </c>
      <c r="B11" s="411">
        <v>399.43</v>
      </c>
      <c r="C11" s="411">
        <v>13.89</v>
      </c>
      <c r="D11" s="411">
        <v>2411.5500000000002</v>
      </c>
      <c r="E11" s="411">
        <v>7.16</v>
      </c>
      <c r="F11" s="411">
        <f t="shared" si="1"/>
        <v>2832.03</v>
      </c>
      <c r="G11" s="419">
        <v>22.56</v>
      </c>
      <c r="H11" s="419">
        <v>12046.91</v>
      </c>
      <c r="I11" s="419">
        <v>117.66</v>
      </c>
      <c r="J11" s="419">
        <v>2450.4899999999998</v>
      </c>
      <c r="K11" s="419">
        <v>478.65</v>
      </c>
      <c r="L11" s="419">
        <f t="shared" si="0"/>
        <v>15093.71</v>
      </c>
      <c r="M11" s="419">
        <v>2283.2600000000002</v>
      </c>
      <c r="O11" s="443"/>
      <c r="P11" s="443"/>
      <c r="Q11" s="443"/>
      <c r="R11" s="443"/>
    </row>
    <row r="12" spans="1:18" s="24" customFormat="1" ht="18" customHeight="1">
      <c r="A12" s="437" t="s">
        <v>384</v>
      </c>
      <c r="B12" s="411">
        <v>538.19000000000005</v>
      </c>
      <c r="C12" s="411">
        <v>9.34</v>
      </c>
      <c r="D12" s="411">
        <v>2814.84</v>
      </c>
      <c r="E12" s="411">
        <v>3.41</v>
      </c>
      <c r="F12" s="411">
        <f t="shared" si="1"/>
        <v>3365.78</v>
      </c>
      <c r="G12" s="419">
        <v>22.84</v>
      </c>
      <c r="H12" s="419">
        <v>8945.99</v>
      </c>
      <c r="I12" s="419">
        <v>71.53</v>
      </c>
      <c r="J12" s="419">
        <v>2028.28</v>
      </c>
      <c r="K12" s="419">
        <v>367.69</v>
      </c>
      <c r="L12" s="419">
        <f t="shared" si="0"/>
        <v>11413.490000000002</v>
      </c>
      <c r="M12" s="419">
        <v>2309.02</v>
      </c>
      <c r="O12" s="443"/>
      <c r="P12" s="443"/>
      <c r="Q12" s="443"/>
      <c r="R12" s="443"/>
    </row>
    <row r="13" spans="1:18" s="24" customFormat="1" ht="18" customHeight="1">
      <c r="A13" s="441" t="s">
        <v>386</v>
      </c>
      <c r="B13" s="411">
        <v>730.73</v>
      </c>
      <c r="C13" s="411">
        <v>25.69</v>
      </c>
      <c r="D13" s="411">
        <v>3422.68</v>
      </c>
      <c r="E13" s="411">
        <v>3.88</v>
      </c>
      <c r="F13" s="411">
        <f t="shared" si="1"/>
        <v>4182.9800000000005</v>
      </c>
      <c r="G13" s="419">
        <v>23.05</v>
      </c>
      <c r="H13" s="419">
        <v>11829.12</v>
      </c>
      <c r="I13" s="419">
        <v>368.53</v>
      </c>
      <c r="J13" s="419">
        <v>2499.11</v>
      </c>
      <c r="K13" s="419">
        <v>373.22</v>
      </c>
      <c r="L13" s="419">
        <f t="shared" si="0"/>
        <v>15069.980000000001</v>
      </c>
      <c r="M13" s="419">
        <v>2341.41</v>
      </c>
      <c r="O13" s="443"/>
      <c r="P13" s="443"/>
      <c r="Q13" s="443"/>
      <c r="R13" s="443"/>
    </row>
    <row r="14" spans="1:18" s="24" customFormat="1" ht="18" customHeight="1">
      <c r="A14" s="441" t="s">
        <v>392</v>
      </c>
      <c r="B14" s="411">
        <v>472.78</v>
      </c>
      <c r="C14" s="411">
        <v>5.3</v>
      </c>
      <c r="D14" s="411">
        <v>3723.07</v>
      </c>
      <c r="E14" s="411">
        <v>6.92</v>
      </c>
      <c r="F14" s="411">
        <f t="shared" si="1"/>
        <v>4208.0700000000006</v>
      </c>
      <c r="G14" s="419">
        <v>23.27</v>
      </c>
      <c r="H14" s="419">
        <v>8658.34</v>
      </c>
      <c r="I14" s="419">
        <v>76.180000000000007</v>
      </c>
      <c r="J14" s="419">
        <v>2445.66</v>
      </c>
      <c r="K14" s="419">
        <v>531.69000000000005</v>
      </c>
      <c r="L14" s="419">
        <f t="shared" si="0"/>
        <v>11711.87</v>
      </c>
      <c r="M14" s="419">
        <v>2374.6</v>
      </c>
      <c r="O14" s="443"/>
      <c r="P14" s="443"/>
      <c r="Q14" s="443"/>
      <c r="R14" s="443"/>
    </row>
    <row r="15" spans="1:18" s="24" customFormat="1" ht="18" customHeight="1">
      <c r="A15" s="441" t="s">
        <v>396</v>
      </c>
      <c r="B15" s="411">
        <v>707.14</v>
      </c>
      <c r="C15" s="411">
        <v>21.56</v>
      </c>
      <c r="D15" s="411">
        <v>4140.24</v>
      </c>
      <c r="E15" s="411">
        <v>8.49</v>
      </c>
      <c r="F15" s="411">
        <f t="shared" si="1"/>
        <v>4877.4299999999994</v>
      </c>
      <c r="G15" s="419">
        <v>23.52</v>
      </c>
      <c r="H15" s="419">
        <v>10920.01</v>
      </c>
      <c r="I15" s="419">
        <v>82.5</v>
      </c>
      <c r="J15" s="419">
        <v>2527.52</v>
      </c>
      <c r="K15" s="419">
        <v>745.24</v>
      </c>
      <c r="L15" s="419">
        <f t="shared" si="0"/>
        <v>14275.27</v>
      </c>
      <c r="M15" s="419">
        <v>2405.56</v>
      </c>
      <c r="O15" s="443"/>
      <c r="P15" s="443"/>
      <c r="Q15" s="443"/>
      <c r="R15" s="443"/>
    </row>
    <row r="16" spans="1:18" s="24" customFormat="1" ht="18" customHeight="1">
      <c r="A16" s="441">
        <v>44166</v>
      </c>
      <c r="B16" s="411">
        <v>1016.64</v>
      </c>
      <c r="C16" s="411">
        <v>75.14</v>
      </c>
      <c r="D16" s="411">
        <v>539.36</v>
      </c>
      <c r="E16" s="411">
        <v>14.73</v>
      </c>
      <c r="F16" s="411">
        <f t="shared" si="1"/>
        <v>1645.87</v>
      </c>
      <c r="G16" s="419">
        <v>23.84</v>
      </c>
      <c r="H16" s="419">
        <v>11602.961375614999</v>
      </c>
      <c r="I16" s="419">
        <v>51.65141242</v>
      </c>
      <c r="J16" s="419">
        <v>2939.4528727299999</v>
      </c>
      <c r="K16" s="419">
        <v>892.70660907499996</v>
      </c>
      <c r="L16" s="419">
        <f t="shared" si="0"/>
        <v>15486.772269839999</v>
      </c>
      <c r="M16" s="419">
        <v>2425.09</v>
      </c>
      <c r="O16" s="443"/>
      <c r="P16" s="443"/>
      <c r="Q16" s="443"/>
      <c r="R16" s="443"/>
    </row>
    <row r="17" spans="1:18" s="24" customFormat="1" ht="18" customHeight="1">
      <c r="A17" s="441">
        <v>44197</v>
      </c>
      <c r="B17" s="411">
        <v>1187.49</v>
      </c>
      <c r="C17" s="411">
        <v>17.68</v>
      </c>
      <c r="D17" s="411">
        <v>5987.77</v>
      </c>
      <c r="E17" s="411">
        <v>16.41</v>
      </c>
      <c r="F17" s="411">
        <v>7265.72</v>
      </c>
      <c r="G17" s="419">
        <v>24.84</v>
      </c>
      <c r="H17" s="419">
        <v>13393.76</v>
      </c>
      <c r="I17" s="419">
        <v>171.13</v>
      </c>
      <c r="J17" s="419">
        <v>3041.24</v>
      </c>
      <c r="K17" s="419">
        <v>413.64</v>
      </c>
      <c r="L17" s="419">
        <v>17019.77</v>
      </c>
      <c r="M17" s="419">
        <v>2448.08</v>
      </c>
      <c r="O17" s="443"/>
      <c r="P17" s="443"/>
      <c r="Q17" s="443"/>
      <c r="R17" s="443"/>
    </row>
    <row r="18" spans="1:18" s="24" customFormat="1" ht="18" customHeight="1">
      <c r="A18" s="441">
        <v>44228</v>
      </c>
      <c r="B18" s="411">
        <v>1590.85</v>
      </c>
      <c r="C18" s="411">
        <v>66.790000000000006</v>
      </c>
      <c r="D18" s="411">
        <v>7991.29</v>
      </c>
      <c r="E18" s="411">
        <v>21.37</v>
      </c>
      <c r="F18" s="411">
        <v>9712.82</v>
      </c>
      <c r="G18" s="419">
        <v>29.34</v>
      </c>
      <c r="H18" s="419">
        <v>17216.82</v>
      </c>
      <c r="I18" s="419">
        <v>239.36</v>
      </c>
      <c r="J18" s="419">
        <v>3668.63</v>
      </c>
      <c r="K18" s="419">
        <v>781.05</v>
      </c>
      <c r="L18" s="419">
        <v>21905.86</v>
      </c>
      <c r="M18" s="419">
        <v>2473.62</v>
      </c>
      <c r="O18" s="443"/>
      <c r="P18" s="443"/>
      <c r="Q18" s="443"/>
      <c r="R18" s="443"/>
    </row>
    <row r="19" spans="1:18" s="24" customFormat="1">
      <c r="A19" s="1180" t="s">
        <v>557</v>
      </c>
      <c r="B19" s="1180"/>
      <c r="C19" s="1180"/>
      <c r="D19" s="1180"/>
      <c r="E19" s="26"/>
      <c r="F19" s="26"/>
      <c r="G19" s="26"/>
      <c r="H19" s="26"/>
      <c r="I19" s="26"/>
      <c r="J19" s="26"/>
      <c r="K19" s="26"/>
      <c r="L19" s="26"/>
      <c r="M19" s="26"/>
    </row>
    <row r="20" spans="1:18" s="22" customFormat="1" ht="14.25" customHeight="1">
      <c r="A20" s="1235" t="s">
        <v>1173</v>
      </c>
      <c r="B20" s="1235"/>
      <c r="C20" s="1235"/>
      <c r="D20" s="1235"/>
      <c r="E20" s="24"/>
      <c r="F20" s="24"/>
      <c r="G20" s="24"/>
      <c r="H20" s="24"/>
      <c r="I20" s="24"/>
      <c r="J20" s="24"/>
      <c r="K20" s="24"/>
      <c r="L20" s="24"/>
      <c r="M20" s="24"/>
    </row>
    <row r="21" spans="1:18" s="22" customFormat="1">
      <c r="A21" s="1180" t="s">
        <v>558</v>
      </c>
      <c r="B21" s="1180"/>
      <c r="C21" s="1180"/>
      <c r="D21" s="1180"/>
    </row>
  </sheetData>
  <mergeCells count="15">
    <mergeCell ref="A19:D19"/>
    <mergeCell ref="A20:D20"/>
    <mergeCell ref="A21:D21"/>
    <mergeCell ref="A1:M1"/>
    <mergeCell ref="A3:A5"/>
    <mergeCell ref="B3:G3"/>
    <mergeCell ref="H3:M3"/>
    <mergeCell ref="B4:C4"/>
    <mergeCell ref="D4:E4"/>
    <mergeCell ref="F4:F5"/>
    <mergeCell ref="G4:G5"/>
    <mergeCell ref="H4:I4"/>
    <mergeCell ref="J4:K4"/>
    <mergeCell ref="L4:L5"/>
    <mergeCell ref="M4:M5"/>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9"/>
  <sheetViews>
    <sheetView zoomScaleNormal="100" workbookViewId="0">
      <selection activeCell="K23" sqref="K23"/>
    </sheetView>
  </sheetViews>
  <sheetFormatPr defaultColWidth="8.85546875" defaultRowHeight="15"/>
  <cols>
    <col min="1" max="1" width="11.42578125" style="346" bestFit="1" customWidth="1"/>
    <col min="2" max="3" width="8.42578125" style="346" customWidth="1"/>
    <col min="4" max="4" width="13.28515625" style="346" bestFit="1" customWidth="1"/>
    <col min="5" max="8" width="8.42578125" style="346" customWidth="1"/>
    <col min="9" max="9" width="13.28515625" style="346" bestFit="1" customWidth="1"/>
    <col min="10" max="11" width="8.42578125" style="346" customWidth="1"/>
    <col min="12" max="16384" width="8.85546875" style="346"/>
  </cols>
  <sheetData>
    <row r="1" spans="1:11" ht="15" customHeight="1">
      <c r="A1" s="1340" t="s">
        <v>559</v>
      </c>
      <c r="B1" s="1340"/>
      <c r="C1" s="1340"/>
      <c r="D1" s="1340"/>
      <c r="E1" s="1340"/>
      <c r="F1" s="1340"/>
      <c r="G1" s="1340"/>
      <c r="H1" s="1340"/>
      <c r="I1" s="1340"/>
      <c r="J1" s="1340"/>
      <c r="K1" s="1340"/>
    </row>
    <row r="2" spans="1:11" s="444" customFormat="1" ht="12.75" customHeight="1">
      <c r="A2" s="1341" t="s">
        <v>83</v>
      </c>
      <c r="B2" s="1343" t="s">
        <v>151</v>
      </c>
      <c r="C2" s="1344"/>
      <c r="D2" s="1344"/>
      <c r="E2" s="1344"/>
      <c r="F2" s="1345"/>
      <c r="G2" s="1343" t="s">
        <v>560</v>
      </c>
      <c r="H2" s="1344"/>
      <c r="I2" s="1344"/>
      <c r="J2" s="1344"/>
      <c r="K2" s="1345"/>
    </row>
    <row r="3" spans="1:11" s="444" customFormat="1" ht="15" customHeight="1">
      <c r="A3" s="1342"/>
      <c r="B3" s="445" t="s">
        <v>561</v>
      </c>
      <c r="C3" s="445" t="s">
        <v>562</v>
      </c>
      <c r="D3" s="445" t="s">
        <v>29</v>
      </c>
      <c r="E3" s="445" t="s">
        <v>154</v>
      </c>
      <c r="F3" s="445" t="s">
        <v>150</v>
      </c>
      <c r="G3" s="445" t="s">
        <v>561</v>
      </c>
      <c r="H3" s="445" t="s">
        <v>562</v>
      </c>
      <c r="I3" s="445" t="s">
        <v>29</v>
      </c>
      <c r="J3" s="445" t="s">
        <v>154</v>
      </c>
      <c r="K3" s="445" t="s">
        <v>150</v>
      </c>
    </row>
    <row r="4" spans="1:11" s="447" customFormat="1" ht="18" customHeight="1">
      <c r="A4" s="446" t="s">
        <v>58</v>
      </c>
      <c r="B4" s="347">
        <v>85.567661444448788</v>
      </c>
      <c r="C4" s="347">
        <v>5.581012084640017E-2</v>
      </c>
      <c r="D4" s="347">
        <v>0</v>
      </c>
      <c r="E4" s="347">
        <v>0</v>
      </c>
      <c r="F4" s="347">
        <v>14.37652843470482</v>
      </c>
      <c r="G4" s="347">
        <v>52.91</v>
      </c>
      <c r="H4" s="347">
        <v>0</v>
      </c>
      <c r="I4" s="347">
        <v>0</v>
      </c>
      <c r="J4" s="347">
        <v>0</v>
      </c>
      <c r="K4" s="347">
        <v>47.09</v>
      </c>
    </row>
    <row r="5" spans="1:11" s="1154" customFormat="1" ht="18" customHeight="1">
      <c r="A5" s="1153" t="s">
        <v>61</v>
      </c>
      <c r="B5" s="347">
        <v>86.542193653068281</v>
      </c>
      <c r="C5" s="347">
        <v>6.8170395675692572E-4</v>
      </c>
      <c r="D5" s="347">
        <v>0</v>
      </c>
      <c r="E5" s="347">
        <v>0</v>
      </c>
      <c r="F5" s="347">
        <v>13.457124642974966</v>
      </c>
      <c r="G5" s="347">
        <v>84.649776453055139</v>
      </c>
      <c r="H5" s="347">
        <v>0</v>
      </c>
      <c r="I5" s="347">
        <v>0</v>
      </c>
      <c r="J5" s="347">
        <v>0</v>
      </c>
      <c r="K5" s="347">
        <v>15.350223546944857</v>
      </c>
    </row>
    <row r="6" spans="1:11" s="444" customFormat="1" ht="18" customHeight="1">
      <c r="A6" s="448" t="s">
        <v>60</v>
      </c>
      <c r="B6" s="348">
        <v>99.979961365693697</v>
      </c>
      <c r="C6" s="348">
        <v>0</v>
      </c>
      <c r="D6" s="348">
        <v>0</v>
      </c>
      <c r="E6" s="348">
        <v>0</v>
      </c>
      <c r="F6" s="348">
        <v>2.00386343063069E-2</v>
      </c>
      <c r="G6" s="348">
        <v>49.89</v>
      </c>
      <c r="H6" s="348">
        <v>0</v>
      </c>
      <c r="I6" s="348">
        <v>0</v>
      </c>
      <c r="J6" s="348">
        <v>0</v>
      </c>
      <c r="K6" s="348">
        <v>50.11</v>
      </c>
    </row>
    <row r="7" spans="1:11" s="444" customFormat="1" ht="18" customHeight="1">
      <c r="A7" s="448" t="s">
        <v>59</v>
      </c>
      <c r="B7" s="348">
        <v>99.918515308384897</v>
      </c>
      <c r="C7" s="348">
        <v>0</v>
      </c>
      <c r="D7" s="348">
        <v>0</v>
      </c>
      <c r="E7" s="348">
        <v>0</v>
      </c>
      <c r="F7" s="348">
        <v>8.1484691615015994E-2</v>
      </c>
      <c r="G7" s="348">
        <v>74.459999999999994</v>
      </c>
      <c r="H7" s="348">
        <v>0</v>
      </c>
      <c r="I7" s="348">
        <v>0</v>
      </c>
      <c r="J7" s="348">
        <v>0</v>
      </c>
      <c r="K7" s="348">
        <v>25.54</v>
      </c>
    </row>
    <row r="8" spans="1:11" s="444" customFormat="1" ht="18" customHeight="1">
      <c r="A8" s="448" t="s">
        <v>310</v>
      </c>
      <c r="B8" s="348">
        <v>68.205065649142099</v>
      </c>
      <c r="C8" s="348">
        <v>0.10456339878613399</v>
      </c>
      <c r="D8" s="348">
        <v>0</v>
      </c>
      <c r="E8" s="348">
        <v>0</v>
      </c>
      <c r="F8" s="348">
        <v>31.690370952071699</v>
      </c>
      <c r="G8" s="348">
        <v>50</v>
      </c>
      <c r="H8" s="348">
        <v>0</v>
      </c>
      <c r="I8" s="348">
        <v>0</v>
      </c>
      <c r="J8" s="348">
        <v>0</v>
      </c>
      <c r="K8" s="348">
        <v>50</v>
      </c>
    </row>
    <row r="9" spans="1:11" s="444" customFormat="1" ht="18" customHeight="1">
      <c r="A9" s="448" t="s">
        <v>356</v>
      </c>
      <c r="B9" s="348">
        <v>93.087095327091703</v>
      </c>
      <c r="C9" s="348">
        <v>0</v>
      </c>
      <c r="D9" s="348">
        <v>0</v>
      </c>
      <c r="E9" s="348">
        <v>0</v>
      </c>
      <c r="F9" s="348">
        <v>6.9129046729082599</v>
      </c>
      <c r="G9" s="348">
        <v>84.4</v>
      </c>
      <c r="H9" s="348">
        <v>0</v>
      </c>
      <c r="I9" s="348">
        <v>0</v>
      </c>
      <c r="J9" s="348">
        <v>0</v>
      </c>
      <c r="K9" s="348">
        <v>15.6</v>
      </c>
    </row>
    <row r="10" spans="1:11" s="444" customFormat="1" ht="18" customHeight="1">
      <c r="A10" s="448" t="s">
        <v>384</v>
      </c>
      <c r="B10" s="348">
        <v>92.330861156359902</v>
      </c>
      <c r="C10" s="348">
        <v>3.1682634339132097E-5</v>
      </c>
      <c r="D10" s="348">
        <v>0</v>
      </c>
      <c r="E10" s="348">
        <v>0</v>
      </c>
      <c r="F10" s="348">
        <v>7.66910716100569</v>
      </c>
      <c r="G10" s="348">
        <v>72.78</v>
      </c>
      <c r="H10" s="348">
        <v>0.01</v>
      </c>
      <c r="I10" s="348">
        <v>0</v>
      </c>
      <c r="J10" s="348">
        <v>0</v>
      </c>
      <c r="K10" s="348">
        <v>27.21</v>
      </c>
    </row>
    <row r="11" spans="1:11" s="444" customFormat="1" ht="18" customHeight="1">
      <c r="A11" s="349" t="s">
        <v>386</v>
      </c>
      <c r="B11" s="348">
        <v>86.753122976935302</v>
      </c>
      <c r="C11" s="348">
        <v>4.1550112130054198E-5</v>
      </c>
      <c r="D11" s="348">
        <v>0</v>
      </c>
      <c r="E11" s="348">
        <v>0</v>
      </c>
      <c r="F11" s="348">
        <v>13.246835472952499</v>
      </c>
      <c r="G11" s="348">
        <v>97.548063526999996</v>
      </c>
      <c r="H11" s="348">
        <v>0</v>
      </c>
      <c r="I11" s="348">
        <v>0</v>
      </c>
      <c r="J11" s="348">
        <v>0</v>
      </c>
      <c r="K11" s="348">
        <v>2.4519364729999999</v>
      </c>
    </row>
    <row r="12" spans="1:11" s="444" customFormat="1" ht="18" customHeight="1">
      <c r="A12" s="349" t="s">
        <v>392</v>
      </c>
      <c r="B12" s="348">
        <v>94.548673316615506</v>
      </c>
      <c r="C12" s="348">
        <v>2.7489196934335998E-6</v>
      </c>
      <c r="D12" s="348">
        <v>0</v>
      </c>
      <c r="E12" s="348">
        <v>0</v>
      </c>
      <c r="F12" s="348">
        <v>5.4513239344647699</v>
      </c>
      <c r="G12" s="348">
        <v>94.234773555000004</v>
      </c>
      <c r="H12" s="348">
        <v>0</v>
      </c>
      <c r="I12" s="348">
        <v>0</v>
      </c>
      <c r="J12" s="348">
        <v>0</v>
      </c>
      <c r="K12" s="348">
        <v>5.7652264449999997</v>
      </c>
    </row>
    <row r="13" spans="1:11" s="444" customFormat="1" ht="15.75" customHeight="1">
      <c r="A13" s="448" t="s">
        <v>396</v>
      </c>
      <c r="B13" s="348">
        <v>95.380133984746394</v>
      </c>
      <c r="C13" s="348">
        <v>2.4848429840513701E-5</v>
      </c>
      <c r="D13" s="348">
        <v>0</v>
      </c>
      <c r="E13" s="348">
        <v>0</v>
      </c>
      <c r="F13" s="348">
        <v>4.61984116682373</v>
      </c>
      <c r="G13" s="348">
        <v>94.994535518999996</v>
      </c>
      <c r="H13" s="348">
        <v>0</v>
      </c>
      <c r="I13" s="348">
        <v>0</v>
      </c>
      <c r="J13" s="348">
        <v>0</v>
      </c>
      <c r="K13" s="348">
        <v>5.0054644809999997</v>
      </c>
    </row>
    <row r="14" spans="1:11" s="444" customFormat="1" ht="15.75" customHeight="1">
      <c r="A14" s="449">
        <v>44166</v>
      </c>
      <c r="B14" s="348">
        <v>89.27085529</v>
      </c>
      <c r="C14" s="348">
        <v>0</v>
      </c>
      <c r="D14" s="348">
        <v>0</v>
      </c>
      <c r="E14" s="348">
        <v>0</v>
      </c>
      <c r="F14" s="348">
        <v>10.72914471</v>
      </c>
      <c r="G14" s="348">
        <v>97.435897440000005</v>
      </c>
      <c r="H14" s="348">
        <v>0</v>
      </c>
      <c r="I14" s="348">
        <v>0</v>
      </c>
      <c r="J14" s="348">
        <v>0</v>
      </c>
      <c r="K14" s="348">
        <v>2.5641025640000001</v>
      </c>
    </row>
    <row r="15" spans="1:11" s="444" customFormat="1" ht="15.75" customHeight="1">
      <c r="A15" s="449">
        <v>44197</v>
      </c>
      <c r="B15" s="348">
        <v>78.330251137000005</v>
      </c>
      <c r="C15" s="348">
        <v>3.900457E-3</v>
      </c>
      <c r="D15" s="348">
        <v>0</v>
      </c>
      <c r="E15" s="348">
        <v>0</v>
      </c>
      <c r="F15" s="348">
        <v>21.665848404999998</v>
      </c>
      <c r="G15" s="348">
        <v>97.435897436000005</v>
      </c>
      <c r="H15" s="348">
        <v>0</v>
      </c>
      <c r="I15" s="348">
        <v>0</v>
      </c>
      <c r="J15" s="348">
        <v>0</v>
      </c>
      <c r="K15" s="348">
        <v>23.386493895000001</v>
      </c>
    </row>
    <row r="16" spans="1:11" s="444" customFormat="1" ht="15.75" customHeight="1">
      <c r="A16" s="449">
        <v>44228</v>
      </c>
      <c r="B16" s="348">
        <v>76.780404211999993</v>
      </c>
      <c r="C16" s="348">
        <v>2.0273999999999999E-5</v>
      </c>
      <c r="D16" s="348">
        <v>0</v>
      </c>
      <c r="E16" s="348">
        <v>0</v>
      </c>
      <c r="F16" s="348">
        <v>23.219575513999999</v>
      </c>
      <c r="G16" s="348">
        <v>84.649776453000001</v>
      </c>
      <c r="H16" s="348">
        <v>0</v>
      </c>
      <c r="I16" s="348">
        <v>0</v>
      </c>
      <c r="J16" s="348">
        <v>0</v>
      </c>
      <c r="K16" s="348">
        <v>15.350223547000001</v>
      </c>
    </row>
    <row r="17" spans="1:11" s="444" customFormat="1" ht="15.75" customHeight="1">
      <c r="A17" s="450" t="s">
        <v>519</v>
      </c>
      <c r="B17" s="451"/>
      <c r="C17" s="451"/>
      <c r="D17" s="451"/>
      <c r="E17" s="451"/>
      <c r="F17" s="451"/>
      <c r="G17" s="451"/>
      <c r="H17" s="451"/>
      <c r="I17" s="451"/>
      <c r="J17" s="451"/>
      <c r="K17" s="451"/>
    </row>
    <row r="18" spans="1:11" s="444" customFormat="1" ht="13.5" customHeight="1">
      <c r="A18" s="452" t="s">
        <v>1173</v>
      </c>
      <c r="B18" s="452"/>
      <c r="C18" s="452"/>
      <c r="D18" s="452"/>
      <c r="E18" s="452"/>
      <c r="F18" s="452"/>
      <c r="G18" s="452"/>
      <c r="H18" s="452"/>
      <c r="I18" s="452"/>
      <c r="J18" s="452"/>
      <c r="K18" s="452"/>
    </row>
    <row r="19" spans="1:11" s="444" customFormat="1" ht="15" customHeight="1">
      <c r="A19" s="452" t="s">
        <v>155</v>
      </c>
      <c r="B19" s="452"/>
      <c r="C19" s="452"/>
      <c r="D19" s="452"/>
      <c r="E19" s="452"/>
      <c r="F19" s="452"/>
      <c r="G19" s="452"/>
      <c r="H19" s="452"/>
      <c r="I19" s="452"/>
      <c r="J19" s="452"/>
      <c r="K19" s="452"/>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9"/>
  <sheetViews>
    <sheetView workbookViewId="0">
      <selection activeCell="O28" sqref="O28"/>
    </sheetView>
  </sheetViews>
  <sheetFormatPr defaultColWidth="8.85546875" defaultRowHeight="15"/>
  <cols>
    <col min="1" max="1" width="14.7109375" style="21" bestFit="1" customWidth="1"/>
    <col min="2" max="3" width="8.85546875" style="21" customWidth="1"/>
    <col min="4" max="4" width="13.28515625" style="21" bestFit="1" customWidth="1"/>
    <col min="5" max="8" width="8.85546875" style="21" customWidth="1"/>
    <col min="9" max="9" width="13.28515625" style="21" bestFit="1" customWidth="1"/>
    <col min="10" max="11" width="8.85546875" style="21" customWidth="1"/>
    <col min="12" max="12" width="5" style="21" bestFit="1" customWidth="1"/>
    <col min="13" max="16384" width="8.85546875" style="21"/>
  </cols>
  <sheetData>
    <row r="1" spans="1:11" ht="18" customHeight="1">
      <c r="A1" s="1236" t="s">
        <v>563</v>
      </c>
      <c r="B1" s="1236"/>
      <c r="C1" s="1236"/>
      <c r="D1" s="1236"/>
      <c r="E1" s="1236"/>
      <c r="F1" s="1236"/>
      <c r="G1" s="1236"/>
      <c r="H1" s="1236"/>
      <c r="I1" s="1236"/>
      <c r="J1" s="1236"/>
      <c r="K1" s="1236"/>
    </row>
    <row r="2" spans="1:11" s="24" customFormat="1" ht="18" customHeight="1">
      <c r="A2" s="1346" t="s">
        <v>83</v>
      </c>
      <c r="B2" s="1348" t="s">
        <v>151</v>
      </c>
      <c r="C2" s="1349"/>
      <c r="D2" s="1349"/>
      <c r="E2" s="1349"/>
      <c r="F2" s="1350"/>
      <c r="G2" s="1348" t="s">
        <v>560</v>
      </c>
      <c r="H2" s="1349"/>
      <c r="I2" s="1349"/>
      <c r="J2" s="1349"/>
      <c r="K2" s="1350"/>
    </row>
    <row r="3" spans="1:11" s="24" customFormat="1" ht="15" customHeight="1">
      <c r="A3" s="1347"/>
      <c r="B3" s="453" t="s">
        <v>561</v>
      </c>
      <c r="C3" s="453" t="s">
        <v>153</v>
      </c>
      <c r="D3" s="453" t="s">
        <v>29</v>
      </c>
      <c r="E3" s="453" t="s">
        <v>154</v>
      </c>
      <c r="F3" s="453" t="s">
        <v>150</v>
      </c>
      <c r="G3" s="453" t="s">
        <v>561</v>
      </c>
      <c r="H3" s="453" t="s">
        <v>153</v>
      </c>
      <c r="I3" s="453" t="s">
        <v>29</v>
      </c>
      <c r="J3" s="453" t="s">
        <v>154</v>
      </c>
      <c r="K3" s="453" t="s">
        <v>150</v>
      </c>
    </row>
    <row r="4" spans="1:11" s="25" customFormat="1" ht="18" customHeight="1">
      <c r="A4" s="454" t="s">
        <v>58</v>
      </c>
      <c r="B4" s="404">
        <v>33.19</v>
      </c>
      <c r="C4" s="404">
        <v>19.25</v>
      </c>
      <c r="D4" s="404">
        <v>0.28999999999999998</v>
      </c>
      <c r="E4" s="404">
        <v>0</v>
      </c>
      <c r="F4" s="404">
        <v>47.27</v>
      </c>
      <c r="G4" s="404">
        <v>11.46</v>
      </c>
      <c r="H4" s="404">
        <v>30.9</v>
      </c>
      <c r="I4" s="404">
        <v>15.99</v>
      </c>
      <c r="J4" s="404">
        <v>0</v>
      </c>
      <c r="K4" s="404">
        <v>41.65</v>
      </c>
    </row>
    <row r="5" spans="1:11" s="23" customFormat="1" ht="18" customHeight="1">
      <c r="A5" s="399" t="s">
        <v>61</v>
      </c>
      <c r="B5" s="404">
        <v>41.67</v>
      </c>
      <c r="C5" s="404">
        <v>13.3</v>
      </c>
      <c r="D5" s="404">
        <v>0.15</v>
      </c>
      <c r="E5" s="404">
        <v>0</v>
      </c>
      <c r="F5" s="404">
        <v>44.88</v>
      </c>
      <c r="G5" s="404">
        <v>16.79</v>
      </c>
      <c r="H5" s="404">
        <v>24.38</v>
      </c>
      <c r="I5" s="404">
        <v>10.6</v>
      </c>
      <c r="J5" s="404">
        <v>0</v>
      </c>
      <c r="K5" s="404">
        <v>48.23</v>
      </c>
    </row>
    <row r="6" spans="1:11" s="24" customFormat="1" ht="18" customHeight="1">
      <c r="A6" s="455" t="s">
        <v>60</v>
      </c>
      <c r="B6" s="456">
        <v>32.369999999999997</v>
      </c>
      <c r="C6" s="456">
        <v>17.2</v>
      </c>
      <c r="D6" s="456">
        <v>0.28999999999999998</v>
      </c>
      <c r="E6" s="456">
        <v>0</v>
      </c>
      <c r="F6" s="456">
        <v>50.14</v>
      </c>
      <c r="G6" s="414">
        <v>11.99</v>
      </c>
      <c r="H6" s="414">
        <v>33.979999999999997</v>
      </c>
      <c r="I6" s="414">
        <v>15.95</v>
      </c>
      <c r="J6" s="414">
        <v>0</v>
      </c>
      <c r="K6" s="414">
        <v>38.08</v>
      </c>
    </row>
    <row r="7" spans="1:11" s="24" customFormat="1" ht="18" customHeight="1">
      <c r="A7" s="455" t="s">
        <v>59</v>
      </c>
      <c r="B7" s="456">
        <v>34.69</v>
      </c>
      <c r="C7" s="456">
        <v>17.84</v>
      </c>
      <c r="D7" s="456">
        <v>0.28999999999999998</v>
      </c>
      <c r="E7" s="456">
        <v>0</v>
      </c>
      <c r="F7" s="456">
        <v>47.18</v>
      </c>
      <c r="G7" s="414">
        <v>14.18</v>
      </c>
      <c r="H7" s="414">
        <v>29.9</v>
      </c>
      <c r="I7" s="414">
        <v>15.22</v>
      </c>
      <c r="J7" s="414">
        <v>0</v>
      </c>
      <c r="K7" s="414">
        <v>40.700000000000003</v>
      </c>
    </row>
    <row r="8" spans="1:11" s="24" customFormat="1" ht="18" customHeight="1">
      <c r="A8" s="455" t="s">
        <v>310</v>
      </c>
      <c r="B8" s="456">
        <v>35.22</v>
      </c>
      <c r="C8" s="456">
        <v>18.45</v>
      </c>
      <c r="D8" s="456">
        <v>0.22</v>
      </c>
      <c r="E8" s="456">
        <v>0</v>
      </c>
      <c r="F8" s="456">
        <v>46.11</v>
      </c>
      <c r="G8" s="414">
        <v>17.14</v>
      </c>
      <c r="H8" s="414">
        <v>24.27</v>
      </c>
      <c r="I8" s="414">
        <v>10.68</v>
      </c>
      <c r="J8" s="414">
        <v>0</v>
      </c>
      <c r="K8" s="414">
        <v>47.91</v>
      </c>
    </row>
    <row r="9" spans="1:11" s="24" customFormat="1" ht="18" customHeight="1">
      <c r="A9" s="455" t="s">
        <v>356</v>
      </c>
      <c r="B9" s="456">
        <v>36.39</v>
      </c>
      <c r="C9" s="456">
        <v>15.77</v>
      </c>
      <c r="D9" s="456">
        <v>0.17</v>
      </c>
      <c r="E9" s="456">
        <v>0</v>
      </c>
      <c r="F9" s="456">
        <v>47.67</v>
      </c>
      <c r="G9" s="414">
        <v>16.760000000000002</v>
      </c>
      <c r="H9" s="414">
        <v>24.26</v>
      </c>
      <c r="I9" s="414">
        <v>10.94</v>
      </c>
      <c r="J9" s="414">
        <v>0</v>
      </c>
      <c r="K9" s="414">
        <v>48.04</v>
      </c>
    </row>
    <row r="10" spans="1:11" s="24" customFormat="1" ht="18" customHeight="1">
      <c r="A10" s="455" t="s">
        <v>384</v>
      </c>
      <c r="B10" s="456">
        <v>40.1</v>
      </c>
      <c r="C10" s="456">
        <v>12.72</v>
      </c>
      <c r="D10" s="456">
        <v>0.18</v>
      </c>
      <c r="E10" s="456">
        <v>0</v>
      </c>
      <c r="F10" s="456">
        <v>46.99</v>
      </c>
      <c r="G10" s="414">
        <v>18.71</v>
      </c>
      <c r="H10" s="414">
        <v>23.37</v>
      </c>
      <c r="I10" s="414">
        <v>9.2200000000000006</v>
      </c>
      <c r="J10" s="414">
        <v>0</v>
      </c>
      <c r="K10" s="414">
        <v>48.7</v>
      </c>
    </row>
    <row r="11" spans="1:11" s="24" customFormat="1" ht="18" customHeight="1">
      <c r="A11" s="441" t="s">
        <v>386</v>
      </c>
      <c r="B11" s="456">
        <v>41.45</v>
      </c>
      <c r="C11" s="456">
        <v>12.18</v>
      </c>
      <c r="D11" s="456">
        <v>0.15</v>
      </c>
      <c r="E11" s="456">
        <v>0</v>
      </c>
      <c r="F11" s="456">
        <v>46.22</v>
      </c>
      <c r="G11" s="414">
        <v>17.78</v>
      </c>
      <c r="H11" s="414">
        <v>20.68</v>
      </c>
      <c r="I11" s="414">
        <v>8.31</v>
      </c>
      <c r="J11" s="414">
        <v>0</v>
      </c>
      <c r="K11" s="414">
        <v>53.23</v>
      </c>
    </row>
    <row r="12" spans="1:11" s="24" customFormat="1" ht="18" customHeight="1">
      <c r="A12" s="441" t="s">
        <v>392</v>
      </c>
      <c r="B12" s="456">
        <v>41.52</v>
      </c>
      <c r="C12" s="456">
        <v>11.74</v>
      </c>
      <c r="D12" s="456">
        <v>0.12</v>
      </c>
      <c r="E12" s="456">
        <v>0</v>
      </c>
      <c r="F12" s="456">
        <v>46.61</v>
      </c>
      <c r="G12" s="414">
        <v>16.46</v>
      </c>
      <c r="H12" s="414">
        <v>24.24</v>
      </c>
      <c r="I12" s="414">
        <v>10.47</v>
      </c>
      <c r="J12" s="414">
        <v>0</v>
      </c>
      <c r="K12" s="414">
        <v>48.83</v>
      </c>
    </row>
    <row r="13" spans="1:11" s="24" customFormat="1" ht="18" customHeight="1">
      <c r="A13" s="455" t="s">
        <v>396</v>
      </c>
      <c r="B13" s="456">
        <v>41.76</v>
      </c>
      <c r="C13" s="456">
        <v>12.5</v>
      </c>
      <c r="D13" s="456">
        <v>0.14000000000000001</v>
      </c>
      <c r="E13" s="456">
        <v>0</v>
      </c>
      <c r="F13" s="456">
        <v>45.6</v>
      </c>
      <c r="G13" s="414">
        <v>17.059999999999999</v>
      </c>
      <c r="H13" s="414">
        <v>24.26</v>
      </c>
      <c r="I13" s="414">
        <v>9.35</v>
      </c>
      <c r="J13" s="414">
        <v>0</v>
      </c>
      <c r="K13" s="414">
        <v>49.33</v>
      </c>
    </row>
    <row r="14" spans="1:11" s="24" customFormat="1" ht="18" customHeight="1">
      <c r="A14" s="441">
        <v>44166</v>
      </c>
      <c r="B14" s="456">
        <v>44.82</v>
      </c>
      <c r="C14" s="456">
        <v>11.31</v>
      </c>
      <c r="D14" s="456">
        <v>0.12</v>
      </c>
      <c r="E14" s="456">
        <v>0</v>
      </c>
      <c r="F14" s="456">
        <v>43.74</v>
      </c>
      <c r="G14" s="414">
        <v>15.72</v>
      </c>
      <c r="H14" s="414">
        <v>23.79</v>
      </c>
      <c r="I14" s="414">
        <v>11.08</v>
      </c>
      <c r="J14" s="414">
        <v>0</v>
      </c>
      <c r="K14" s="414">
        <v>49.41</v>
      </c>
    </row>
    <row r="15" spans="1:11" s="24" customFormat="1" ht="18" customHeight="1">
      <c r="A15" s="441">
        <v>44197</v>
      </c>
      <c r="B15" s="456">
        <v>45.85</v>
      </c>
      <c r="C15" s="456">
        <v>11.83</v>
      </c>
      <c r="D15" s="456">
        <v>0.12</v>
      </c>
      <c r="E15" s="456">
        <v>0</v>
      </c>
      <c r="F15" s="456">
        <v>42.2</v>
      </c>
      <c r="G15" s="414">
        <v>17.399999999999999</v>
      </c>
      <c r="H15" s="414">
        <v>23.43</v>
      </c>
      <c r="I15" s="414">
        <v>10.01</v>
      </c>
      <c r="J15" s="414">
        <v>0</v>
      </c>
      <c r="K15" s="414">
        <v>49.15</v>
      </c>
    </row>
    <row r="16" spans="1:11" s="24" customFormat="1" ht="18" customHeight="1">
      <c r="A16" s="441">
        <v>44228</v>
      </c>
      <c r="B16" s="456">
        <v>46.29</v>
      </c>
      <c r="C16" s="456">
        <v>12.77</v>
      </c>
      <c r="D16" s="456">
        <v>0.11</v>
      </c>
      <c r="E16" s="456">
        <v>0</v>
      </c>
      <c r="F16" s="456">
        <v>40.83</v>
      </c>
      <c r="G16" s="414">
        <v>18.739999999999998</v>
      </c>
      <c r="H16" s="414">
        <v>21.23</v>
      </c>
      <c r="I16" s="414">
        <v>8.7899999999999991</v>
      </c>
      <c r="J16" s="414">
        <v>0</v>
      </c>
      <c r="K16" s="414">
        <v>51.24</v>
      </c>
    </row>
    <row r="17" spans="1:11" s="24" customFormat="1" ht="15.75" customHeight="1">
      <c r="A17" s="28" t="s">
        <v>519</v>
      </c>
      <c r="B17" s="457"/>
      <c r="C17" s="457"/>
      <c r="D17" s="457"/>
      <c r="E17" s="457"/>
      <c r="F17" s="457"/>
      <c r="G17" s="457"/>
      <c r="H17" s="457"/>
      <c r="I17" s="457"/>
      <c r="J17" s="457"/>
      <c r="K17" s="457"/>
    </row>
    <row r="18" spans="1:11" s="24" customFormat="1" ht="14.25" customHeight="1">
      <c r="A18" s="21" t="s">
        <v>1173</v>
      </c>
      <c r="B18" s="458"/>
      <c r="C18" s="458"/>
      <c r="D18" s="458"/>
      <c r="E18" s="458"/>
      <c r="F18" s="458"/>
      <c r="G18" s="458"/>
      <c r="H18" s="458"/>
      <c r="I18" s="458"/>
      <c r="J18" s="458"/>
      <c r="K18" s="458"/>
    </row>
    <row r="19" spans="1:11" s="24" customFormat="1">
      <c r="A19" s="21" t="s">
        <v>157</v>
      </c>
      <c r="B19" s="458"/>
      <c r="C19" s="458"/>
      <c r="D19" s="458"/>
      <c r="E19" s="458"/>
      <c r="F19" s="458"/>
      <c r="G19" s="458"/>
      <c r="H19" s="458"/>
      <c r="I19" s="458"/>
      <c r="J19" s="458"/>
      <c r="K19" s="458"/>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2"/>
  <sheetViews>
    <sheetView workbookViewId="0">
      <selection activeCell="D24" sqref="D24"/>
    </sheetView>
  </sheetViews>
  <sheetFormatPr defaultColWidth="8.85546875" defaultRowHeight="15"/>
  <cols>
    <col min="1" max="1" width="8.140625" style="1" bestFit="1" customWidth="1"/>
    <col min="2" max="2" width="34.140625" style="1" bestFit="1" customWidth="1"/>
    <col min="3" max="3" width="60.5703125" style="1" bestFit="1" customWidth="1"/>
    <col min="4" max="4" width="11.140625" style="1" bestFit="1" customWidth="1"/>
    <col min="5" max="5" width="11.7109375" style="1" bestFit="1" customWidth="1"/>
    <col min="6" max="7" width="12.42578125" style="1" bestFit="1" customWidth="1"/>
    <col min="8" max="8" width="14.7109375" style="1" customWidth="1"/>
    <col min="9" max="9" width="11.140625" style="1" customWidth="1"/>
    <col min="10" max="10" width="7.28515625" style="1" bestFit="1" customWidth="1"/>
    <col min="11" max="11" width="4.7109375" style="1" bestFit="1" customWidth="1"/>
    <col min="12" max="16384" width="8.85546875" style="1"/>
  </cols>
  <sheetData>
    <row r="1" spans="1:10">
      <c r="A1" s="1182" t="s">
        <v>1178</v>
      </c>
      <c r="B1" s="1182"/>
      <c r="C1" s="1182"/>
      <c r="D1" s="1182"/>
      <c r="E1" s="1182"/>
      <c r="F1" s="1182"/>
      <c r="G1" s="1182"/>
      <c r="H1" s="1182"/>
      <c r="I1" s="1182"/>
      <c r="J1" s="1182"/>
    </row>
    <row r="2" spans="1:10" s="20" customFormat="1">
      <c r="A2" s="1183" t="s">
        <v>44</v>
      </c>
      <c r="B2" s="1183" t="s">
        <v>45</v>
      </c>
      <c r="C2" s="1183" t="s">
        <v>46</v>
      </c>
      <c r="D2" s="1183" t="s">
        <v>47</v>
      </c>
      <c r="E2" s="1183" t="s">
        <v>48</v>
      </c>
      <c r="F2" s="1183" t="s">
        <v>49</v>
      </c>
      <c r="G2" s="1183"/>
      <c r="H2" s="1184" t="s">
        <v>438</v>
      </c>
      <c r="I2" s="1183" t="s">
        <v>439</v>
      </c>
    </row>
    <row r="3" spans="1:10" s="20" customFormat="1" ht="45">
      <c r="A3" s="1183"/>
      <c r="B3" s="1183"/>
      <c r="C3" s="1183"/>
      <c r="D3" s="1183"/>
      <c r="E3" s="1183"/>
      <c r="F3" s="194" t="s">
        <v>50</v>
      </c>
      <c r="G3" s="194" t="s">
        <v>351</v>
      </c>
      <c r="H3" s="1184"/>
      <c r="I3" s="1183"/>
    </row>
    <row r="4" spans="1:10" s="20" customFormat="1">
      <c r="A4" s="195" t="s">
        <v>454</v>
      </c>
      <c r="B4" s="197" t="s">
        <v>1222</v>
      </c>
      <c r="C4" s="197" t="s">
        <v>1223</v>
      </c>
      <c r="D4" s="196">
        <v>44217</v>
      </c>
      <c r="E4" s="196">
        <v>44231</v>
      </c>
      <c r="F4" s="60">
        <v>195000</v>
      </c>
      <c r="G4" s="198">
        <v>26</v>
      </c>
      <c r="H4" s="199">
        <v>0.56000000000000005</v>
      </c>
      <c r="I4" s="199">
        <v>29</v>
      </c>
    </row>
    <row r="5" spans="1:10" s="20" customFormat="1" ht="45">
      <c r="A5" s="195" t="s">
        <v>455</v>
      </c>
      <c r="B5" s="200" t="s">
        <v>1224</v>
      </c>
      <c r="C5" s="200" t="s">
        <v>1225</v>
      </c>
      <c r="D5" s="196">
        <v>44218</v>
      </c>
      <c r="E5" s="196">
        <v>44232</v>
      </c>
      <c r="F5" s="60">
        <v>801320</v>
      </c>
      <c r="G5" s="198">
        <v>26</v>
      </c>
      <c r="H5" s="199">
        <v>0.8</v>
      </c>
      <c r="I5" s="199">
        <v>10</v>
      </c>
    </row>
    <row r="6" spans="1:10" s="20" customFormat="1">
      <c r="A6" s="195" t="s">
        <v>456</v>
      </c>
      <c r="B6" s="200" t="s">
        <v>1226</v>
      </c>
      <c r="C6" s="200" t="s">
        <v>1227</v>
      </c>
      <c r="D6" s="196">
        <v>44235</v>
      </c>
      <c r="E6" s="196">
        <v>44249</v>
      </c>
      <c r="F6" s="60">
        <v>2730208</v>
      </c>
      <c r="G6" s="198">
        <v>26</v>
      </c>
      <c r="H6" s="199">
        <v>13.48</v>
      </c>
      <c r="I6" s="199">
        <v>49.41</v>
      </c>
    </row>
    <row r="7" spans="1:10" s="20" customFormat="1">
      <c r="A7" s="195" t="s">
        <v>1219</v>
      </c>
      <c r="B7" s="197" t="s">
        <v>1228</v>
      </c>
      <c r="C7" s="197" t="s">
        <v>1229</v>
      </c>
      <c r="D7" s="196">
        <v>44236</v>
      </c>
      <c r="E7" s="196">
        <v>44250</v>
      </c>
      <c r="F7" s="60">
        <v>3377953</v>
      </c>
      <c r="G7" s="198">
        <v>25.94</v>
      </c>
      <c r="H7" s="199">
        <v>194.14</v>
      </c>
      <c r="I7" s="199">
        <v>575.53</v>
      </c>
    </row>
    <row r="8" spans="1:10" s="20" customFormat="1">
      <c r="A8" s="195" t="s">
        <v>232</v>
      </c>
      <c r="B8" s="200" t="s">
        <v>1230</v>
      </c>
      <c r="C8" s="200" t="s">
        <v>1231</v>
      </c>
      <c r="D8" s="196">
        <v>44225</v>
      </c>
      <c r="E8" s="196">
        <v>44238</v>
      </c>
      <c r="F8" s="60">
        <v>55632300</v>
      </c>
      <c r="G8" s="198">
        <v>52</v>
      </c>
      <c r="H8" s="199">
        <v>2.2000000000000002</v>
      </c>
      <c r="I8" s="199">
        <v>0.4</v>
      </c>
    </row>
    <row r="9" spans="1:10" s="20" customFormat="1" ht="15" customHeight="1">
      <c r="A9" s="1108"/>
      <c r="B9" s="1109"/>
      <c r="C9" s="1109"/>
      <c r="D9" s="1110"/>
      <c r="E9" s="1110"/>
      <c r="F9" s="1111"/>
      <c r="G9" s="1112"/>
      <c r="H9" s="1113"/>
      <c r="I9" s="1113"/>
    </row>
    <row r="10" spans="1:10" s="20" customFormat="1" ht="15" customHeight="1">
      <c r="A10" s="1108"/>
      <c r="B10" s="1109"/>
      <c r="C10" s="1109"/>
      <c r="D10" s="1110"/>
      <c r="E10" s="1110"/>
      <c r="F10" s="1111"/>
      <c r="G10" s="1112"/>
      <c r="H10" s="1113"/>
      <c r="I10" s="1113"/>
    </row>
    <row r="11" spans="1:10" s="20" customFormat="1">
      <c r="A11" s="1181" t="s">
        <v>43</v>
      </c>
      <c r="B11" s="1181"/>
    </row>
    <row r="12" spans="1:10" s="20" customFormat="1"/>
  </sheetData>
  <mergeCells count="10">
    <mergeCell ref="A11:B11"/>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9"/>
  <sheetViews>
    <sheetView workbookViewId="0">
      <selection activeCell="G11" sqref="G11"/>
    </sheetView>
  </sheetViews>
  <sheetFormatPr defaultColWidth="8.85546875" defaultRowHeight="15"/>
  <cols>
    <col min="1" max="3" width="14.7109375" style="21" bestFit="1" customWidth="1"/>
    <col min="4" max="4" width="13.28515625" style="21" bestFit="1" customWidth="1"/>
    <col min="5" max="5" width="4.7109375" style="21" bestFit="1" customWidth="1"/>
    <col min="6" max="16384" width="8.85546875" style="21"/>
  </cols>
  <sheetData>
    <row r="1" spans="1:10" ht="15" customHeight="1">
      <c r="A1" s="1223" t="s">
        <v>564</v>
      </c>
      <c r="B1" s="1223"/>
      <c r="C1" s="1223"/>
      <c r="D1" s="1223"/>
    </row>
    <row r="2" spans="1:10" s="22" customFormat="1" ht="18" customHeight="1">
      <c r="A2" s="1351" t="s">
        <v>331</v>
      </c>
      <c r="B2" s="1352"/>
      <c r="C2" s="1352"/>
      <c r="D2" s="1353"/>
    </row>
    <row r="3" spans="1:10" s="22" customFormat="1" ht="27.75" customHeight="1">
      <c r="A3" s="459" t="s">
        <v>83</v>
      </c>
      <c r="B3" s="460" t="s">
        <v>565</v>
      </c>
      <c r="C3" s="460" t="s">
        <v>566</v>
      </c>
      <c r="D3" s="461" t="s">
        <v>567</v>
      </c>
    </row>
    <row r="4" spans="1:10" s="23" customFormat="1" ht="18" customHeight="1">
      <c r="A4" s="454" t="s">
        <v>58</v>
      </c>
      <c r="B4" s="404">
        <v>100</v>
      </c>
      <c r="C4" s="404">
        <v>0</v>
      </c>
      <c r="D4" s="404">
        <v>0</v>
      </c>
      <c r="F4" s="462"/>
      <c r="G4" s="463"/>
      <c r="I4" s="464"/>
      <c r="J4" s="464"/>
    </row>
    <row r="5" spans="1:10" s="23" customFormat="1" ht="18" customHeight="1">
      <c r="A5" s="399" t="s">
        <v>61</v>
      </c>
      <c r="B5" s="404">
        <v>0.78698721382204562</v>
      </c>
      <c r="C5" s="404">
        <v>99.213012786177941</v>
      </c>
      <c r="D5" s="404">
        <v>0</v>
      </c>
      <c r="F5" s="462"/>
      <c r="G5" s="636"/>
      <c r="I5" s="464"/>
      <c r="J5" s="464"/>
    </row>
    <row r="6" spans="1:10" s="22" customFormat="1" ht="18" customHeight="1">
      <c r="A6" s="455" t="s">
        <v>60</v>
      </c>
      <c r="B6" s="414">
        <v>100</v>
      </c>
      <c r="C6" s="414">
        <v>0</v>
      </c>
      <c r="D6" s="414">
        <v>0</v>
      </c>
      <c r="F6" s="462"/>
      <c r="G6" s="463"/>
      <c r="I6" s="464"/>
      <c r="J6" s="464"/>
    </row>
    <row r="7" spans="1:10" s="22" customFormat="1" ht="18" customHeight="1">
      <c r="A7" s="455" t="s">
        <v>59</v>
      </c>
      <c r="B7" s="456">
        <v>100</v>
      </c>
      <c r="C7" s="456">
        <v>0</v>
      </c>
      <c r="D7" s="414">
        <v>0</v>
      </c>
      <c r="F7" s="462"/>
      <c r="G7" s="463"/>
      <c r="I7" s="464"/>
      <c r="J7" s="464"/>
    </row>
    <row r="8" spans="1:10" s="22" customFormat="1" ht="18" customHeight="1">
      <c r="A8" s="455" t="s">
        <v>310</v>
      </c>
      <c r="B8" s="456">
        <v>16.84</v>
      </c>
      <c r="C8" s="456">
        <v>83.16</v>
      </c>
      <c r="D8" s="414">
        <v>0</v>
      </c>
      <c r="F8" s="462"/>
      <c r="G8" s="463"/>
      <c r="I8" s="464"/>
      <c r="J8" s="464"/>
    </row>
    <row r="9" spans="1:10" s="22" customFormat="1" ht="18" customHeight="1">
      <c r="A9" s="455" t="s">
        <v>356</v>
      </c>
      <c r="B9" s="456">
        <v>0</v>
      </c>
      <c r="C9" s="456">
        <v>100</v>
      </c>
      <c r="D9" s="414">
        <v>0</v>
      </c>
      <c r="F9" s="462"/>
      <c r="G9" s="463"/>
      <c r="I9" s="464"/>
      <c r="J9" s="464"/>
    </row>
    <row r="10" spans="1:10" s="22" customFormat="1" ht="18" customHeight="1">
      <c r="A10" s="455" t="s">
        <v>384</v>
      </c>
      <c r="B10" s="456">
        <v>0</v>
      </c>
      <c r="C10" s="456">
        <v>100</v>
      </c>
      <c r="D10" s="456">
        <v>0</v>
      </c>
      <c r="F10" s="462"/>
      <c r="G10" s="463"/>
      <c r="I10" s="464"/>
      <c r="J10" s="464"/>
    </row>
    <row r="11" spans="1:10" s="22" customFormat="1" ht="18" customHeight="1">
      <c r="A11" s="441">
        <v>44075</v>
      </c>
      <c r="B11" s="456">
        <v>0</v>
      </c>
      <c r="C11" s="456">
        <v>100</v>
      </c>
      <c r="D11" s="456">
        <v>0</v>
      </c>
      <c r="F11" s="462"/>
      <c r="G11" s="463"/>
      <c r="I11" s="464"/>
      <c r="J11" s="464"/>
    </row>
    <row r="12" spans="1:10" s="22" customFormat="1" ht="18" customHeight="1">
      <c r="A12" s="441" t="s">
        <v>392</v>
      </c>
      <c r="B12" s="456">
        <v>0</v>
      </c>
      <c r="C12" s="456">
        <v>100</v>
      </c>
      <c r="D12" s="456">
        <v>0</v>
      </c>
      <c r="G12" s="463"/>
      <c r="I12" s="464"/>
      <c r="J12" s="464"/>
    </row>
    <row r="13" spans="1:10" s="22" customFormat="1" ht="18" customHeight="1">
      <c r="A13" s="441" t="s">
        <v>396</v>
      </c>
      <c r="B13" s="456">
        <v>0</v>
      </c>
      <c r="C13" s="456">
        <v>100</v>
      </c>
      <c r="D13" s="456">
        <v>0</v>
      </c>
      <c r="G13" s="463"/>
      <c r="I13" s="464"/>
      <c r="J13" s="464"/>
    </row>
    <row r="14" spans="1:10" s="22" customFormat="1" ht="18" customHeight="1">
      <c r="A14" s="441">
        <v>44166</v>
      </c>
      <c r="B14" s="456">
        <v>0</v>
      </c>
      <c r="C14" s="456">
        <v>100</v>
      </c>
      <c r="D14" s="456">
        <v>0</v>
      </c>
      <c r="G14" s="463"/>
      <c r="I14" s="464"/>
      <c r="J14" s="464"/>
    </row>
    <row r="15" spans="1:10" s="22" customFormat="1" ht="18" customHeight="1">
      <c r="A15" s="441">
        <v>44197</v>
      </c>
      <c r="B15" s="456">
        <v>0</v>
      </c>
      <c r="C15" s="456">
        <v>100</v>
      </c>
      <c r="D15" s="456">
        <v>0</v>
      </c>
      <c r="G15" s="463"/>
      <c r="I15" s="464"/>
      <c r="J15" s="464"/>
    </row>
    <row r="16" spans="1:10" s="22" customFormat="1" ht="18" customHeight="1">
      <c r="A16" s="441">
        <v>44228</v>
      </c>
      <c r="B16" s="456">
        <v>0</v>
      </c>
      <c r="C16" s="456">
        <v>100</v>
      </c>
      <c r="D16" s="456">
        <v>0</v>
      </c>
      <c r="G16" s="463"/>
      <c r="I16" s="464"/>
      <c r="J16" s="464"/>
    </row>
    <row r="17" spans="1:9" s="22" customFormat="1" ht="18" customHeight="1">
      <c r="A17" s="29" t="s">
        <v>519</v>
      </c>
      <c r="B17" s="30"/>
      <c r="C17" s="30"/>
      <c r="D17" s="30"/>
      <c r="G17" s="422"/>
      <c r="H17" s="422"/>
      <c r="I17" s="422"/>
    </row>
    <row r="18" spans="1:9" s="22" customFormat="1" ht="13.5" customHeight="1">
      <c r="A18" s="1354" t="s">
        <v>1173</v>
      </c>
      <c r="B18" s="1354"/>
      <c r="C18" s="1354"/>
      <c r="D18" s="1354"/>
      <c r="E18" s="1354"/>
      <c r="F18" s="1354"/>
      <c r="G18" s="422"/>
      <c r="H18" s="422"/>
      <c r="I18" s="422"/>
    </row>
    <row r="19" spans="1:9" s="22" customFormat="1" ht="14.25" customHeight="1">
      <c r="A19" s="1180" t="s">
        <v>155</v>
      </c>
      <c r="B19" s="1180"/>
      <c r="C19" s="1180"/>
      <c r="D19" s="1180"/>
      <c r="G19" s="422"/>
      <c r="H19" s="422"/>
      <c r="I19" s="422"/>
    </row>
  </sheetData>
  <mergeCells count="4">
    <mergeCell ref="A1:D1"/>
    <mergeCell ref="A2:D2"/>
    <mergeCell ref="A18:F18"/>
    <mergeCell ref="A19:D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44"/>
  <sheetViews>
    <sheetView zoomScaleNormal="100" workbookViewId="0">
      <selection activeCell="H15" sqref="H15"/>
    </sheetView>
  </sheetViews>
  <sheetFormatPr defaultColWidth="8.85546875" defaultRowHeight="15"/>
  <cols>
    <col min="1" max="4" width="14.7109375" style="21" bestFit="1" customWidth="1"/>
    <col min="5" max="5" width="4.7109375" style="21" bestFit="1" customWidth="1"/>
    <col min="6" max="6" width="8.85546875" style="21"/>
    <col min="7" max="7" width="11.85546875" style="21" bestFit="1" customWidth="1"/>
    <col min="8" max="16384" width="8.85546875" style="21"/>
  </cols>
  <sheetData>
    <row r="1" spans="1:4" ht="15" customHeight="1">
      <c r="A1" s="1223" t="s">
        <v>568</v>
      </c>
      <c r="B1" s="1223"/>
      <c r="C1" s="1223"/>
      <c r="D1" s="1223"/>
    </row>
    <row r="2" spans="1:4" s="22" customFormat="1" ht="18" customHeight="1">
      <c r="A2" s="1355" t="s">
        <v>569</v>
      </c>
      <c r="B2" s="1356"/>
      <c r="C2" s="1356"/>
      <c r="D2" s="1356"/>
    </row>
    <row r="3" spans="1:4" s="22" customFormat="1" ht="18.75" customHeight="1">
      <c r="A3" s="465" t="s">
        <v>83</v>
      </c>
      <c r="B3" s="465" t="s">
        <v>570</v>
      </c>
      <c r="C3" s="465" t="s">
        <v>571</v>
      </c>
      <c r="D3" s="465" t="s">
        <v>572</v>
      </c>
    </row>
    <row r="4" spans="1:4" s="23" customFormat="1" ht="18" customHeight="1">
      <c r="A4" s="454" t="s">
        <v>58</v>
      </c>
      <c r="B4" s="466">
        <v>39.006821029999998</v>
      </c>
      <c r="C4" s="466">
        <v>9.5086300000000003E-4</v>
      </c>
      <c r="D4" s="466">
        <v>60.992228109999999</v>
      </c>
    </row>
    <row r="5" spans="1:4" s="23" customFormat="1" ht="18" customHeight="1">
      <c r="A5" s="399" t="s">
        <v>61</v>
      </c>
      <c r="B5" s="404">
        <v>45.039412630000001</v>
      </c>
      <c r="C5" s="404">
        <v>2.0000000000000002E-5</v>
      </c>
      <c r="D5" s="404">
        <v>54.911921110000002</v>
      </c>
    </row>
    <row r="6" spans="1:4" s="22" customFormat="1" ht="18" customHeight="1">
      <c r="A6" s="455" t="s">
        <v>60</v>
      </c>
      <c r="B6" s="456">
        <v>49.588625409999999</v>
      </c>
      <c r="C6" s="456">
        <v>3.1785899999999998E-4</v>
      </c>
      <c r="D6" s="456">
        <v>50.411056729999999</v>
      </c>
    </row>
    <row r="7" spans="1:4" s="22" customFormat="1" ht="18" customHeight="1">
      <c r="A7" s="455" t="s">
        <v>59</v>
      </c>
      <c r="B7" s="456">
        <v>46.989811170000003</v>
      </c>
      <c r="C7" s="456">
        <v>2.1736600000000001E-4</v>
      </c>
      <c r="D7" s="456">
        <v>53.009971460000003</v>
      </c>
    </row>
    <row r="8" spans="1:4" s="22" customFormat="1" ht="18" customHeight="1">
      <c r="A8" s="455" t="s">
        <v>310</v>
      </c>
      <c r="B8" s="456">
        <v>54.365526439999996</v>
      </c>
      <c r="C8" s="456">
        <v>1.2704099999999999E-4</v>
      </c>
      <c r="D8" s="456">
        <v>45.634346520000001</v>
      </c>
    </row>
    <row r="9" spans="1:4" s="22" customFormat="1" ht="18" customHeight="1">
      <c r="A9" s="455" t="s">
        <v>356</v>
      </c>
      <c r="B9" s="456">
        <v>49.938886799999999</v>
      </c>
      <c r="C9" s="456">
        <v>0</v>
      </c>
      <c r="D9" s="456">
        <v>50.061113200000001</v>
      </c>
    </row>
    <row r="10" spans="1:4" s="22" customFormat="1" ht="18" customHeight="1">
      <c r="A10" s="455" t="s">
        <v>384</v>
      </c>
      <c r="B10" s="456">
        <v>49.84197013</v>
      </c>
      <c r="C10" s="456">
        <v>0</v>
      </c>
      <c r="D10" s="456">
        <v>50.15802987</v>
      </c>
    </row>
    <row r="11" spans="1:4" s="22" customFormat="1" ht="18" customHeight="1">
      <c r="A11" s="455" t="s">
        <v>386</v>
      </c>
      <c r="B11" s="456">
        <v>47.363995090000003</v>
      </c>
      <c r="C11" s="456">
        <v>0</v>
      </c>
      <c r="D11" s="456">
        <v>52.636004909999997</v>
      </c>
    </row>
    <row r="12" spans="1:4" s="22" customFormat="1" ht="18" customHeight="1">
      <c r="A12" s="455" t="s">
        <v>392</v>
      </c>
      <c r="B12" s="456">
        <v>45.152463480000002</v>
      </c>
      <c r="C12" s="456">
        <v>0</v>
      </c>
      <c r="D12" s="456">
        <v>54.847536519999998</v>
      </c>
    </row>
    <row r="13" spans="1:4" s="22" customFormat="1" ht="18" customHeight="1">
      <c r="A13" s="455" t="s">
        <v>396</v>
      </c>
      <c r="B13" s="456">
        <v>40.323999999999998</v>
      </c>
      <c r="C13" s="456">
        <v>0</v>
      </c>
      <c r="D13" s="456">
        <v>59.676000000000002</v>
      </c>
    </row>
    <row r="14" spans="1:4" s="22" customFormat="1" ht="18" customHeight="1">
      <c r="A14" s="455" t="s">
        <v>457</v>
      </c>
      <c r="B14" s="456">
        <v>42.764898430000002</v>
      </c>
      <c r="C14" s="456">
        <v>0</v>
      </c>
      <c r="D14" s="456">
        <v>57.235101569999998</v>
      </c>
    </row>
    <row r="15" spans="1:4" s="22" customFormat="1" ht="18" customHeight="1">
      <c r="A15" s="455" t="s">
        <v>1095</v>
      </c>
      <c r="B15" s="456">
        <v>43.236888180000001</v>
      </c>
      <c r="C15" s="456">
        <v>0</v>
      </c>
      <c r="D15" s="456">
        <v>56.544723400000002</v>
      </c>
    </row>
    <row r="16" spans="1:4" s="22" customFormat="1" ht="18" customHeight="1">
      <c r="A16" s="455" t="s">
        <v>1184</v>
      </c>
      <c r="B16" s="456">
        <v>39.949135400000003</v>
      </c>
      <c r="C16" s="456">
        <v>0</v>
      </c>
      <c r="D16" s="456">
        <v>59.923712379999998</v>
      </c>
    </row>
    <row r="17" spans="1:4" s="22" customFormat="1" ht="18" customHeight="1">
      <c r="A17" s="29" t="s">
        <v>519</v>
      </c>
      <c r="B17" s="30"/>
      <c r="C17" s="30"/>
      <c r="D17" s="30"/>
    </row>
    <row r="18" spans="1:4" s="22" customFormat="1" ht="13.5" customHeight="1">
      <c r="A18" s="1274" t="s">
        <v>1173</v>
      </c>
      <c r="B18" s="1274"/>
      <c r="C18" s="1274"/>
      <c r="D18" s="1274"/>
    </row>
    <row r="19" spans="1:4" s="22" customFormat="1" ht="14.25" customHeight="1">
      <c r="A19" s="1215" t="s">
        <v>157</v>
      </c>
      <c r="B19" s="1215"/>
      <c r="C19" s="1215"/>
      <c r="D19" s="1215"/>
    </row>
    <row r="30" spans="1:4">
      <c r="B30" s="467"/>
      <c r="C30" s="467"/>
      <c r="D30" s="467"/>
    </row>
    <row r="31" spans="1:4">
      <c r="B31" s="467"/>
      <c r="C31" s="467"/>
      <c r="D31" s="467"/>
    </row>
    <row r="32" spans="1:4">
      <c r="B32" s="467"/>
      <c r="C32" s="467"/>
      <c r="D32" s="467"/>
    </row>
    <row r="33" spans="2:4">
      <c r="B33" s="467"/>
      <c r="C33" s="467"/>
      <c r="D33" s="467"/>
    </row>
    <row r="34" spans="2:4">
      <c r="B34" s="467"/>
      <c r="C34" s="467"/>
      <c r="D34" s="467"/>
    </row>
    <row r="35" spans="2:4">
      <c r="B35" s="467"/>
      <c r="C35" s="467"/>
      <c r="D35" s="467"/>
    </row>
    <row r="36" spans="2:4">
      <c r="B36" s="467"/>
      <c r="C36" s="467"/>
      <c r="D36" s="467"/>
    </row>
    <row r="37" spans="2:4">
      <c r="B37" s="467"/>
      <c r="C37" s="467"/>
      <c r="D37" s="467"/>
    </row>
    <row r="38" spans="2:4">
      <c r="B38" s="467"/>
      <c r="C38" s="467"/>
      <c r="D38" s="467"/>
    </row>
    <row r="39" spans="2:4">
      <c r="B39" s="467"/>
      <c r="C39" s="467"/>
      <c r="D39" s="467"/>
    </row>
    <row r="40" spans="2:4">
      <c r="B40" s="467"/>
      <c r="C40" s="467"/>
      <c r="D40" s="467"/>
    </row>
    <row r="41" spans="2:4">
      <c r="B41" s="467"/>
      <c r="C41" s="467"/>
      <c r="D41" s="467"/>
    </row>
    <row r="42" spans="2:4">
      <c r="B42" s="467"/>
      <c r="C42" s="467"/>
      <c r="D42" s="467"/>
    </row>
    <row r="43" spans="2:4">
      <c r="B43" s="467"/>
      <c r="C43" s="467"/>
      <c r="D43" s="467"/>
    </row>
    <row r="44" spans="2:4">
      <c r="B44" s="467"/>
      <c r="C44" s="467"/>
      <c r="D44" s="467"/>
    </row>
  </sheetData>
  <mergeCells count="4">
    <mergeCell ref="A1:D1"/>
    <mergeCell ref="A2:D2"/>
    <mergeCell ref="A18:D18"/>
    <mergeCell ref="A19:D1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47"/>
  <sheetViews>
    <sheetView zoomScale="85" zoomScaleNormal="85" workbookViewId="0">
      <selection activeCell="K7" sqref="K7"/>
    </sheetView>
  </sheetViews>
  <sheetFormatPr defaultColWidth="8.85546875" defaultRowHeight="15"/>
  <cols>
    <col min="1" max="1" width="14.7109375" style="338" bestFit="1" customWidth="1"/>
    <col min="2" max="2" width="9" style="338" customWidth="1"/>
    <col min="3" max="11" width="14.7109375" style="338" bestFit="1" customWidth="1"/>
    <col min="12" max="12" width="15" style="338" bestFit="1" customWidth="1"/>
    <col min="13" max="13" width="4.7109375" style="338" bestFit="1" customWidth="1"/>
    <col min="14" max="16384" width="8.85546875" style="338"/>
  </cols>
  <sheetData>
    <row r="1" spans="1:12">
      <c r="A1" s="1357" t="s">
        <v>573</v>
      </c>
      <c r="B1" s="1357"/>
      <c r="C1" s="1357"/>
      <c r="D1" s="1357"/>
      <c r="E1" s="1357"/>
      <c r="F1" s="1357"/>
      <c r="G1" s="1357"/>
      <c r="H1" s="1357"/>
      <c r="I1" s="1357"/>
      <c r="J1" s="1357"/>
      <c r="K1" s="1357"/>
      <c r="L1" s="1357"/>
    </row>
    <row r="2" spans="1:12" s="468" customFormat="1">
      <c r="A2" s="1358" t="s">
        <v>70</v>
      </c>
      <c r="B2" s="1361" t="s">
        <v>111</v>
      </c>
      <c r="C2" s="1364" t="s">
        <v>574</v>
      </c>
      <c r="D2" s="1365"/>
      <c r="E2" s="1368" t="s">
        <v>575</v>
      </c>
      <c r="F2" s="1369"/>
      <c r="G2" s="1369"/>
      <c r="H2" s="1370"/>
      <c r="I2" s="1364" t="s">
        <v>53</v>
      </c>
      <c r="J2" s="1365"/>
      <c r="K2" s="1364" t="s">
        <v>576</v>
      </c>
      <c r="L2" s="1365"/>
    </row>
    <row r="3" spans="1:12" s="468" customFormat="1">
      <c r="A3" s="1359"/>
      <c r="B3" s="1362"/>
      <c r="C3" s="1366"/>
      <c r="D3" s="1367"/>
      <c r="E3" s="1368" t="s">
        <v>540</v>
      </c>
      <c r="F3" s="1370"/>
      <c r="G3" s="1368" t="s">
        <v>541</v>
      </c>
      <c r="H3" s="1370"/>
      <c r="I3" s="1366"/>
      <c r="J3" s="1367"/>
      <c r="K3" s="1366"/>
      <c r="L3" s="1367"/>
    </row>
    <row r="4" spans="1:12" s="468" customFormat="1" ht="30">
      <c r="A4" s="1360"/>
      <c r="B4" s="1363"/>
      <c r="C4" s="469" t="s">
        <v>577</v>
      </c>
      <c r="D4" s="469" t="s">
        <v>124</v>
      </c>
      <c r="E4" s="469" t="s">
        <v>577</v>
      </c>
      <c r="F4" s="469" t="s">
        <v>124</v>
      </c>
      <c r="G4" s="469" t="s">
        <v>578</v>
      </c>
      <c r="H4" s="469" t="s">
        <v>124</v>
      </c>
      <c r="I4" s="469" t="s">
        <v>577</v>
      </c>
      <c r="J4" s="469" t="s">
        <v>579</v>
      </c>
      <c r="K4" s="469" t="s">
        <v>578</v>
      </c>
      <c r="L4" s="470" t="s">
        <v>580</v>
      </c>
    </row>
    <row r="5" spans="1:12" s="473" customFormat="1">
      <c r="A5" s="471" t="s">
        <v>58</v>
      </c>
      <c r="B5" s="472">
        <v>243</v>
      </c>
      <c r="C5" s="472">
        <v>400927037</v>
      </c>
      <c r="D5" s="472">
        <v>2852910.86</v>
      </c>
      <c r="E5" s="472">
        <v>214693422</v>
      </c>
      <c r="F5" s="472">
        <v>1538428.304</v>
      </c>
      <c r="G5" s="472">
        <v>328897100</v>
      </c>
      <c r="H5" s="472">
        <v>2291934.5920000002</v>
      </c>
      <c r="I5" s="472">
        <v>944517559</v>
      </c>
      <c r="J5" s="472">
        <v>6683273.7560000001</v>
      </c>
      <c r="K5" s="472">
        <v>2288248</v>
      </c>
      <c r="L5" s="472">
        <v>17251.47</v>
      </c>
    </row>
    <row r="6" spans="1:12" s="473" customFormat="1">
      <c r="A6" s="471" t="s">
        <v>61</v>
      </c>
      <c r="B6" s="472">
        <f>SUM(B7:B22)</f>
        <v>224</v>
      </c>
      <c r="C6" s="472">
        <f t="shared" ref="C6:I6" si="0">SUM(C7:C22)</f>
        <v>247568640</v>
      </c>
      <c r="D6" s="472">
        <f t="shared" si="0"/>
        <v>1845310.6061000002</v>
      </c>
      <c r="E6" s="472">
        <f t="shared" si="0"/>
        <v>155138454</v>
      </c>
      <c r="F6" s="472">
        <f t="shared" si="0"/>
        <v>1173619.507</v>
      </c>
      <c r="G6" s="472">
        <f t="shared" si="0"/>
        <v>210675470</v>
      </c>
      <c r="H6" s="472">
        <f t="shared" si="0"/>
        <v>1541549.6051</v>
      </c>
      <c r="I6" s="472">
        <f t="shared" si="0"/>
        <v>613382564</v>
      </c>
      <c r="J6" s="472">
        <f>SUM(J7:J17)</f>
        <v>4560479.7282000007</v>
      </c>
      <c r="K6" s="472">
        <f>K17</f>
        <v>2065873</v>
      </c>
      <c r="L6" s="472">
        <f>L17</f>
        <v>15247.562860690001</v>
      </c>
    </row>
    <row r="7" spans="1:12" s="468" customFormat="1">
      <c r="A7" s="474" t="s">
        <v>60</v>
      </c>
      <c r="B7" s="475">
        <v>17</v>
      </c>
      <c r="C7" s="475">
        <v>18156395</v>
      </c>
      <c r="D7" s="475">
        <v>138820.29</v>
      </c>
      <c r="E7" s="475">
        <v>6476787</v>
      </c>
      <c r="F7" s="475">
        <v>50460.69</v>
      </c>
      <c r="G7" s="475">
        <v>10892155</v>
      </c>
      <c r="H7" s="475">
        <v>81863.399999999994</v>
      </c>
      <c r="I7" s="475">
        <v>35525337</v>
      </c>
      <c r="J7" s="475">
        <v>271144.38</v>
      </c>
      <c r="K7" s="475">
        <v>1273915</v>
      </c>
      <c r="L7" s="475">
        <v>9570.3700000000008</v>
      </c>
    </row>
    <row r="8" spans="1:12" s="468" customFormat="1">
      <c r="A8" s="474" t="s">
        <v>59</v>
      </c>
      <c r="B8" s="475">
        <v>18</v>
      </c>
      <c r="C8" s="475">
        <v>17436081</v>
      </c>
      <c r="D8" s="475">
        <v>132222.54999999999</v>
      </c>
      <c r="E8" s="475">
        <v>9017175</v>
      </c>
      <c r="F8" s="475">
        <v>69915.06</v>
      </c>
      <c r="G8" s="475">
        <v>14011006</v>
      </c>
      <c r="H8" s="475">
        <v>104007.3</v>
      </c>
      <c r="I8" s="475">
        <v>40464262</v>
      </c>
      <c r="J8" s="475">
        <v>306144.90000000002</v>
      </c>
      <c r="K8" s="475">
        <v>678398</v>
      </c>
      <c r="L8" s="475">
        <v>5151.87</v>
      </c>
    </row>
    <row r="9" spans="1:12" s="468" customFormat="1">
      <c r="A9" s="474" t="s">
        <v>310</v>
      </c>
      <c r="B9" s="475">
        <v>22</v>
      </c>
      <c r="C9" s="475">
        <v>23756034</v>
      </c>
      <c r="D9" s="475">
        <v>180393.67</v>
      </c>
      <c r="E9" s="475">
        <v>15910793</v>
      </c>
      <c r="F9" s="475">
        <v>123085.45</v>
      </c>
      <c r="G9" s="475">
        <v>21994582</v>
      </c>
      <c r="H9" s="475">
        <v>163766.07</v>
      </c>
      <c r="I9" s="475">
        <v>61661409</v>
      </c>
      <c r="J9" s="475">
        <v>467245.2</v>
      </c>
      <c r="K9" s="475">
        <v>712652</v>
      </c>
      <c r="L9" s="475">
        <v>5394.75</v>
      </c>
    </row>
    <row r="10" spans="1:12" s="468" customFormat="1">
      <c r="A10" s="474" t="s">
        <v>356</v>
      </c>
      <c r="B10" s="475">
        <v>23</v>
      </c>
      <c r="C10" s="475">
        <v>25338836</v>
      </c>
      <c r="D10" s="475">
        <v>190382.76</v>
      </c>
      <c r="E10" s="475">
        <v>10697892</v>
      </c>
      <c r="F10" s="475">
        <v>81976.56</v>
      </c>
      <c r="G10" s="475">
        <v>22387440</v>
      </c>
      <c r="H10" s="475">
        <v>164807.01</v>
      </c>
      <c r="I10" s="475">
        <v>58424168</v>
      </c>
      <c r="J10" s="475">
        <v>437166.34</v>
      </c>
      <c r="K10" s="475">
        <v>639219</v>
      </c>
      <c r="L10" s="475">
        <v>4839.72</v>
      </c>
    </row>
    <row r="11" spans="1:12" s="468" customFormat="1">
      <c r="A11" s="474" t="s">
        <v>384</v>
      </c>
      <c r="B11" s="475">
        <v>21</v>
      </c>
      <c r="C11" s="475">
        <v>22489598</v>
      </c>
      <c r="D11" s="475">
        <v>168111.03</v>
      </c>
      <c r="E11" s="475">
        <v>17886515</v>
      </c>
      <c r="F11" s="475">
        <v>136249.15</v>
      </c>
      <c r="G11" s="475">
        <v>20029214</v>
      </c>
      <c r="H11" s="475">
        <v>147430.07999999999</v>
      </c>
      <c r="I11" s="475">
        <v>60405327</v>
      </c>
      <c r="J11" s="475">
        <v>451790.26</v>
      </c>
      <c r="K11" s="475">
        <v>806498</v>
      </c>
      <c r="L11" s="475">
        <v>5966.81</v>
      </c>
    </row>
    <row r="12" spans="1:12" s="468" customFormat="1">
      <c r="A12" s="474" t="s">
        <v>386</v>
      </c>
      <c r="B12" s="475">
        <v>22</v>
      </c>
      <c r="C12" s="475">
        <v>25789498</v>
      </c>
      <c r="D12" s="475">
        <v>189948.5215</v>
      </c>
      <c r="E12" s="475">
        <v>14614903</v>
      </c>
      <c r="F12" s="475">
        <v>109555.8563</v>
      </c>
      <c r="G12" s="475">
        <v>17967576</v>
      </c>
      <c r="H12" s="475">
        <v>129973.0131</v>
      </c>
      <c r="I12" s="475">
        <v>58371977</v>
      </c>
      <c r="J12" s="475">
        <v>429477.3909</v>
      </c>
      <c r="K12" s="475">
        <v>1051011</v>
      </c>
      <c r="L12" s="475">
        <v>7777.820635</v>
      </c>
    </row>
    <row r="13" spans="1:12" s="468" customFormat="1">
      <c r="A13" s="474" t="s">
        <v>392</v>
      </c>
      <c r="B13" s="475">
        <v>20</v>
      </c>
      <c r="C13" s="475">
        <v>21085186</v>
      </c>
      <c r="D13" s="475">
        <v>155309.52780000001</v>
      </c>
      <c r="E13" s="475">
        <v>11320525</v>
      </c>
      <c r="F13" s="475">
        <v>84755.885800000004</v>
      </c>
      <c r="G13" s="475">
        <v>23298862</v>
      </c>
      <c r="H13" s="475">
        <v>168825.3352</v>
      </c>
      <c r="I13" s="475">
        <v>55704573</v>
      </c>
      <c r="J13" s="475">
        <v>408890.7488</v>
      </c>
      <c r="K13" s="475">
        <v>789087</v>
      </c>
      <c r="L13" s="475">
        <v>5854.0947080400001</v>
      </c>
    </row>
    <row r="14" spans="1:12" s="468" customFormat="1">
      <c r="A14" s="474" t="s">
        <v>396</v>
      </c>
      <c r="B14" s="475">
        <v>20</v>
      </c>
      <c r="C14" s="475">
        <v>22908461</v>
      </c>
      <c r="D14" s="475">
        <v>170555.66810000001</v>
      </c>
      <c r="E14" s="475">
        <v>11030906</v>
      </c>
      <c r="F14" s="475">
        <v>83259.164600000004</v>
      </c>
      <c r="G14" s="475">
        <v>20294564</v>
      </c>
      <c r="H14" s="475">
        <v>148432.0594</v>
      </c>
      <c r="I14" s="475">
        <v>54233931</v>
      </c>
      <c r="J14" s="475">
        <v>402246.8921</v>
      </c>
      <c r="K14" s="475">
        <v>950779</v>
      </c>
      <c r="L14" s="475">
        <v>7083.3784750000004</v>
      </c>
    </row>
    <row r="15" spans="1:12" s="468" customFormat="1">
      <c r="A15" s="474">
        <v>44166</v>
      </c>
      <c r="B15" s="475">
        <v>22</v>
      </c>
      <c r="C15" s="475">
        <v>24499097</v>
      </c>
      <c r="D15" s="475">
        <v>181120.2605</v>
      </c>
      <c r="E15" s="475">
        <v>20881148</v>
      </c>
      <c r="F15" s="475">
        <v>156898.28520000001</v>
      </c>
      <c r="G15" s="475">
        <v>21830509</v>
      </c>
      <c r="H15" s="475">
        <v>158922.0238</v>
      </c>
      <c r="I15" s="475">
        <v>67210754</v>
      </c>
      <c r="J15" s="475">
        <v>496940.56949999998</v>
      </c>
      <c r="K15" s="475">
        <v>1795099</v>
      </c>
      <c r="L15" s="475">
        <v>13196.905220000001</v>
      </c>
    </row>
    <row r="16" spans="1:12" s="468" customFormat="1">
      <c r="A16" s="474">
        <v>44197</v>
      </c>
      <c r="B16" s="475">
        <v>20</v>
      </c>
      <c r="C16" s="475">
        <v>21529952</v>
      </c>
      <c r="D16" s="475">
        <v>158092.4688</v>
      </c>
      <c r="E16" s="475">
        <v>20535870</v>
      </c>
      <c r="F16" s="475">
        <v>153175.33230000001</v>
      </c>
      <c r="G16" s="475">
        <v>17861841</v>
      </c>
      <c r="H16" s="475">
        <v>128994.4132</v>
      </c>
      <c r="I16" s="475">
        <v>59927663</v>
      </c>
      <c r="J16" s="475">
        <v>440262.21429999999</v>
      </c>
      <c r="K16" s="475">
        <v>1330567</v>
      </c>
      <c r="L16" s="475">
        <v>9780.0370899999998</v>
      </c>
    </row>
    <row r="17" spans="1:12" s="468" customFormat="1">
      <c r="A17" s="474">
        <v>44228</v>
      </c>
      <c r="B17" s="475">
        <v>19</v>
      </c>
      <c r="C17" s="475">
        <v>24579502</v>
      </c>
      <c r="D17" s="475">
        <v>180353.85939999999</v>
      </c>
      <c r="E17" s="475">
        <v>16765940</v>
      </c>
      <c r="F17" s="475">
        <v>124288.07279999999</v>
      </c>
      <c r="G17" s="475">
        <v>20107721</v>
      </c>
      <c r="H17" s="475">
        <v>144528.90040000001</v>
      </c>
      <c r="I17" s="475">
        <v>61453163</v>
      </c>
      <c r="J17" s="475">
        <v>449170.83260000002</v>
      </c>
      <c r="K17" s="475">
        <v>2065873</v>
      </c>
      <c r="L17" s="475">
        <v>15247.562860690001</v>
      </c>
    </row>
    <row r="18" spans="1:12" s="468" customFormat="1">
      <c r="A18" s="476" t="s">
        <v>519</v>
      </c>
      <c r="B18" s="477"/>
      <c r="C18" s="478"/>
      <c r="D18" s="479"/>
      <c r="E18" s="338"/>
      <c r="F18" s="338"/>
      <c r="G18" s="338"/>
      <c r="H18" s="338"/>
      <c r="I18" s="338"/>
      <c r="J18" s="338"/>
      <c r="K18" s="338"/>
      <c r="L18" s="338"/>
    </row>
    <row r="19" spans="1:12" s="468" customFormat="1">
      <c r="A19" s="476" t="s">
        <v>581</v>
      </c>
      <c r="B19" s="477"/>
      <c r="C19" s="478"/>
      <c r="D19" s="479"/>
      <c r="E19" s="338"/>
      <c r="F19" s="338"/>
      <c r="G19" s="338"/>
      <c r="H19" s="338"/>
      <c r="I19" s="338"/>
      <c r="J19" s="338"/>
      <c r="K19" s="338"/>
      <c r="L19" s="338"/>
    </row>
    <row r="20" spans="1:12" s="468" customFormat="1">
      <c r="A20" s="476" t="s">
        <v>582</v>
      </c>
      <c r="B20" s="477"/>
      <c r="C20" s="478"/>
      <c r="D20" s="479"/>
      <c r="E20" s="338"/>
      <c r="F20" s="338"/>
      <c r="G20" s="338"/>
      <c r="H20" s="338"/>
      <c r="I20" s="338"/>
      <c r="J20" s="338"/>
      <c r="K20" s="338"/>
      <c r="L20" s="338"/>
    </row>
    <row r="21" spans="1:12" s="468" customFormat="1">
      <c r="A21" s="480" t="s">
        <v>1173</v>
      </c>
      <c r="B21" s="480"/>
      <c r="C21" s="480"/>
      <c r="D21" s="480"/>
      <c r="E21" s="480"/>
      <c r="F21" s="480"/>
      <c r="G21" s="480"/>
      <c r="H21" s="480"/>
      <c r="I21" s="480"/>
      <c r="J21" s="480"/>
      <c r="K21" s="480"/>
      <c r="L21" s="480"/>
    </row>
    <row r="22" spans="1:12" s="468" customFormat="1">
      <c r="A22" s="480" t="s">
        <v>583</v>
      </c>
      <c r="B22" s="480"/>
      <c r="C22" s="480"/>
      <c r="D22" s="480"/>
      <c r="E22" s="480"/>
      <c r="F22" s="480"/>
      <c r="G22" s="480"/>
      <c r="H22" s="480"/>
      <c r="I22" s="480"/>
      <c r="J22" s="480"/>
      <c r="K22" s="480"/>
      <c r="L22" s="480"/>
    </row>
    <row r="23" spans="1:12">
      <c r="B23" s="343"/>
      <c r="C23" s="343"/>
      <c r="D23" s="343"/>
      <c r="E23" s="343"/>
      <c r="F23" s="343"/>
      <c r="G23" s="343"/>
      <c r="H23" s="343"/>
      <c r="I23" s="343"/>
      <c r="J23" s="343"/>
      <c r="K23" s="343"/>
      <c r="L23" s="343"/>
    </row>
    <row r="36" spans="2:12">
      <c r="B36" s="343"/>
      <c r="C36" s="343"/>
      <c r="D36" s="343"/>
      <c r="E36" s="343"/>
      <c r="F36" s="343"/>
      <c r="G36" s="343"/>
      <c r="H36" s="343"/>
      <c r="I36" s="343"/>
      <c r="J36" s="343"/>
      <c r="K36" s="343"/>
      <c r="L36" s="343"/>
    </row>
    <row r="37" spans="2:12">
      <c r="B37" s="343"/>
      <c r="C37" s="343"/>
      <c r="D37" s="343"/>
      <c r="E37" s="343"/>
      <c r="F37" s="343"/>
      <c r="G37" s="343"/>
      <c r="H37" s="343"/>
      <c r="I37" s="343"/>
      <c r="J37" s="343"/>
      <c r="K37" s="343"/>
      <c r="L37" s="343"/>
    </row>
    <row r="38" spans="2:12">
      <c r="B38" s="343"/>
      <c r="C38" s="343"/>
      <c r="D38" s="343"/>
      <c r="E38" s="343"/>
      <c r="F38" s="343"/>
      <c r="G38" s="343"/>
      <c r="H38" s="343"/>
      <c r="I38" s="343"/>
      <c r="J38" s="343"/>
      <c r="K38" s="343"/>
      <c r="L38" s="343"/>
    </row>
    <row r="39" spans="2:12">
      <c r="B39" s="343"/>
      <c r="C39" s="343"/>
      <c r="D39" s="343"/>
      <c r="E39" s="343"/>
      <c r="F39" s="343"/>
      <c r="G39" s="343"/>
      <c r="H39" s="343"/>
      <c r="I39" s="343"/>
      <c r="J39" s="343"/>
      <c r="K39" s="343"/>
      <c r="L39" s="343"/>
    </row>
    <row r="40" spans="2:12">
      <c r="B40" s="343"/>
      <c r="C40" s="343"/>
      <c r="D40" s="343"/>
      <c r="E40" s="343"/>
      <c r="F40" s="343"/>
      <c r="G40" s="343"/>
      <c r="H40" s="343"/>
      <c r="I40" s="343"/>
      <c r="J40" s="343"/>
      <c r="K40" s="343"/>
      <c r="L40" s="343"/>
    </row>
    <row r="41" spans="2:12">
      <c r="B41" s="343"/>
      <c r="C41" s="343"/>
      <c r="D41" s="343"/>
      <c r="E41" s="343"/>
      <c r="F41" s="343"/>
      <c r="G41" s="343"/>
      <c r="H41" s="343"/>
      <c r="I41" s="343"/>
      <c r="J41" s="343"/>
      <c r="K41" s="343"/>
      <c r="L41" s="343"/>
    </row>
    <row r="42" spans="2:12">
      <c r="B42" s="343"/>
      <c r="C42" s="343"/>
      <c r="D42" s="343"/>
      <c r="E42" s="343"/>
      <c r="F42" s="343"/>
      <c r="G42" s="343"/>
      <c r="H42" s="343"/>
      <c r="I42" s="343"/>
      <c r="J42" s="343"/>
      <c r="K42" s="343"/>
      <c r="L42" s="343"/>
    </row>
    <row r="43" spans="2:12">
      <c r="B43" s="343"/>
      <c r="C43" s="343"/>
      <c r="D43" s="343"/>
      <c r="E43" s="343"/>
      <c r="F43" s="343"/>
      <c r="G43" s="343"/>
      <c r="H43" s="343"/>
      <c r="I43" s="343"/>
      <c r="J43" s="343"/>
      <c r="K43" s="343"/>
      <c r="L43" s="343"/>
    </row>
    <row r="44" spans="2:12">
      <c r="B44" s="343"/>
      <c r="C44" s="343"/>
      <c r="D44" s="343"/>
      <c r="E44" s="343"/>
      <c r="F44" s="343"/>
      <c r="G44" s="343"/>
      <c r="H44" s="343"/>
      <c r="I44" s="343"/>
      <c r="J44" s="343"/>
      <c r="K44" s="343"/>
      <c r="L44" s="343"/>
    </row>
    <row r="45" spans="2:12">
      <c r="B45" s="343"/>
      <c r="C45" s="343"/>
      <c r="D45" s="343"/>
      <c r="E45" s="343"/>
      <c r="F45" s="343"/>
      <c r="G45" s="343"/>
      <c r="H45" s="343"/>
      <c r="I45" s="343"/>
      <c r="J45" s="343"/>
      <c r="K45" s="343"/>
      <c r="L45" s="343"/>
    </row>
    <row r="46" spans="2:12">
      <c r="B46" s="343"/>
      <c r="C46" s="343"/>
      <c r="D46" s="343"/>
      <c r="E46" s="343"/>
      <c r="F46" s="343"/>
      <c r="G46" s="343"/>
      <c r="H46" s="343"/>
      <c r="I46" s="343"/>
      <c r="J46" s="343"/>
      <c r="K46" s="343"/>
      <c r="L46" s="343"/>
    </row>
    <row r="47" spans="2:12">
      <c r="B47" s="343"/>
      <c r="C47" s="343"/>
      <c r="D47" s="343"/>
      <c r="E47" s="343"/>
      <c r="F47" s="343"/>
      <c r="G47" s="343"/>
      <c r="H47" s="343"/>
      <c r="I47" s="343"/>
      <c r="J47" s="343"/>
      <c r="K47" s="343"/>
      <c r="L47" s="343"/>
    </row>
  </sheetData>
  <mergeCells count="9">
    <mergeCell ref="A1:L1"/>
    <mergeCell ref="A2:A4"/>
    <mergeCell ref="B2:B4"/>
    <mergeCell ref="C2:D3"/>
    <mergeCell ref="E2:H2"/>
    <mergeCell ref="I2:J3"/>
    <mergeCell ref="K2:L3"/>
    <mergeCell ref="E3:F3"/>
    <mergeCell ref="G3:H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29"/>
  <sheetViews>
    <sheetView zoomScaleNormal="100" workbookViewId="0">
      <selection activeCell="K7" sqref="K7"/>
    </sheetView>
  </sheetViews>
  <sheetFormatPr defaultColWidth="8.85546875" defaultRowHeight="15"/>
  <cols>
    <col min="1" max="1" width="9.42578125" style="21" bestFit="1" customWidth="1"/>
    <col min="2" max="2" width="7.7109375" style="21" bestFit="1" customWidth="1"/>
    <col min="3" max="8" width="12.140625" style="21" bestFit="1" customWidth="1"/>
    <col min="9" max="9" width="14.140625" style="21" bestFit="1" customWidth="1"/>
    <col min="10" max="11" width="12.140625" style="21" bestFit="1" customWidth="1"/>
    <col min="12" max="12" width="10.7109375" style="21" bestFit="1" customWidth="1"/>
    <col min="13" max="16384" width="8.85546875" style="21"/>
  </cols>
  <sheetData>
    <row r="1" spans="1:12" s="481" customFormat="1">
      <c r="A1" s="1270" t="s">
        <v>584</v>
      </c>
      <c r="B1" s="1270"/>
      <c r="C1" s="1270"/>
      <c r="D1" s="1270"/>
      <c r="E1" s="1270"/>
      <c r="F1" s="1270"/>
      <c r="G1" s="1270"/>
      <c r="H1" s="1270"/>
      <c r="I1" s="1270"/>
      <c r="J1" s="1270"/>
      <c r="K1" s="1270"/>
      <c r="L1" s="1270"/>
    </row>
    <row r="2" spans="1:12" s="482" customFormat="1">
      <c r="A2" s="1315" t="s">
        <v>534</v>
      </c>
      <c r="B2" s="1315" t="s">
        <v>585</v>
      </c>
      <c r="C2" s="1371" t="s">
        <v>574</v>
      </c>
      <c r="D2" s="1372"/>
      <c r="E2" s="1371" t="s">
        <v>586</v>
      </c>
      <c r="F2" s="1373"/>
      <c r="G2" s="1373"/>
      <c r="H2" s="1372"/>
      <c r="I2" s="1371" t="s">
        <v>53</v>
      </c>
      <c r="J2" s="1372"/>
      <c r="K2" s="1374" t="s">
        <v>587</v>
      </c>
      <c r="L2" s="1375"/>
    </row>
    <row r="3" spans="1:12" s="482" customFormat="1">
      <c r="A3" s="1301"/>
      <c r="B3" s="1301"/>
      <c r="C3" s="1376" t="s">
        <v>542</v>
      </c>
      <c r="D3" s="1376" t="s">
        <v>543</v>
      </c>
      <c r="E3" s="1371" t="s">
        <v>540</v>
      </c>
      <c r="F3" s="1372"/>
      <c r="G3" s="1371" t="s">
        <v>541</v>
      </c>
      <c r="H3" s="1372"/>
      <c r="I3" s="1315" t="s">
        <v>578</v>
      </c>
      <c r="J3" s="1315" t="s">
        <v>588</v>
      </c>
      <c r="K3" s="1376" t="s">
        <v>542</v>
      </c>
      <c r="L3" s="1376" t="s">
        <v>589</v>
      </c>
    </row>
    <row r="4" spans="1:12" s="482" customFormat="1" ht="30">
      <c r="A4" s="1316"/>
      <c r="B4" s="1316"/>
      <c r="C4" s="1377"/>
      <c r="D4" s="1377"/>
      <c r="E4" s="432" t="s">
        <v>542</v>
      </c>
      <c r="F4" s="432" t="s">
        <v>543</v>
      </c>
      <c r="G4" s="432" t="s">
        <v>542</v>
      </c>
      <c r="H4" s="432" t="s">
        <v>543</v>
      </c>
      <c r="I4" s="1316"/>
      <c r="J4" s="1316"/>
      <c r="K4" s="1377"/>
      <c r="L4" s="1377"/>
    </row>
    <row r="5" spans="1:12" s="485" customFormat="1">
      <c r="A5" s="483" t="s">
        <v>58</v>
      </c>
      <c r="B5" s="484">
        <v>243</v>
      </c>
      <c r="C5" s="484">
        <v>660128849</v>
      </c>
      <c r="D5" s="484">
        <v>4806639.4400000004</v>
      </c>
      <c r="E5" s="484">
        <v>352374185</v>
      </c>
      <c r="F5" s="484">
        <v>2520679.83</v>
      </c>
      <c r="G5" s="484">
        <v>327759150</v>
      </c>
      <c r="H5" s="484">
        <v>2327074.4989999998</v>
      </c>
      <c r="I5" s="484">
        <v>1340262184</v>
      </c>
      <c r="J5" s="484">
        <v>9654393.7679999992</v>
      </c>
      <c r="K5" s="484">
        <v>6826565</v>
      </c>
      <c r="L5" s="484">
        <v>51810.079769999997</v>
      </c>
    </row>
    <row r="6" spans="1:12" s="25" customFormat="1">
      <c r="A6" s="454" t="s">
        <v>61</v>
      </c>
      <c r="B6" s="486">
        <f>SUM(B7:B22)</f>
        <v>224</v>
      </c>
      <c r="C6" s="486">
        <f t="shared" ref="C6:J6" si="0">SUM(C7:C22)</f>
        <v>657647791</v>
      </c>
      <c r="D6" s="486">
        <f t="shared" si="0"/>
        <v>5119924.3093999997</v>
      </c>
      <c r="E6" s="486">
        <f t="shared" si="0"/>
        <v>390166778</v>
      </c>
      <c r="F6" s="486">
        <f t="shared" si="0"/>
        <v>2914886.4869999997</v>
      </c>
      <c r="G6" s="486">
        <f t="shared" si="0"/>
        <v>353944332</v>
      </c>
      <c r="H6" s="486">
        <f t="shared" si="0"/>
        <v>2626596.1228</v>
      </c>
      <c r="I6" s="486">
        <f t="shared" si="0"/>
        <v>1401758901</v>
      </c>
      <c r="J6" s="486">
        <f t="shared" si="0"/>
        <v>10661406.9191</v>
      </c>
      <c r="K6" s="486">
        <f>K17</f>
        <v>9514933</v>
      </c>
      <c r="L6" s="486">
        <f>L17</f>
        <v>78174.781400000007</v>
      </c>
    </row>
    <row r="7" spans="1:12" s="24" customFormat="1">
      <c r="A7" s="455" t="s">
        <v>60</v>
      </c>
      <c r="B7" s="418">
        <v>17</v>
      </c>
      <c r="C7" s="418">
        <v>48012637</v>
      </c>
      <c r="D7" s="418">
        <v>372205.46909999999</v>
      </c>
      <c r="E7" s="418">
        <v>22067309</v>
      </c>
      <c r="F7" s="418">
        <v>169628.2971</v>
      </c>
      <c r="G7" s="418">
        <v>20327816</v>
      </c>
      <c r="H7" s="418">
        <v>154448.6911</v>
      </c>
      <c r="I7" s="418">
        <v>90407762</v>
      </c>
      <c r="J7" s="418">
        <v>696282.45719999995</v>
      </c>
      <c r="K7" s="418">
        <v>4263641</v>
      </c>
      <c r="L7" s="418">
        <v>32203.754280000001</v>
      </c>
    </row>
    <row r="8" spans="1:12" s="24" customFormat="1">
      <c r="A8" s="455" t="s">
        <v>59</v>
      </c>
      <c r="B8" s="418">
        <v>18</v>
      </c>
      <c r="C8" s="418">
        <v>47443900</v>
      </c>
      <c r="D8" s="418">
        <v>367808.5477</v>
      </c>
      <c r="E8" s="418">
        <v>26027374</v>
      </c>
      <c r="F8" s="418">
        <v>198497.3371</v>
      </c>
      <c r="G8" s="418">
        <v>21602048</v>
      </c>
      <c r="H8" s="418">
        <v>163221.3511</v>
      </c>
      <c r="I8" s="418">
        <v>95073322</v>
      </c>
      <c r="J8" s="418">
        <v>729527.23580000002</v>
      </c>
      <c r="K8" s="418">
        <v>3650637</v>
      </c>
      <c r="L8" s="418">
        <v>27865.660650000002</v>
      </c>
    </row>
    <row r="9" spans="1:12" s="24" customFormat="1">
      <c r="A9" s="455" t="s">
        <v>310</v>
      </c>
      <c r="B9" s="418">
        <v>22</v>
      </c>
      <c r="C9" s="418">
        <v>58286091</v>
      </c>
      <c r="D9" s="418">
        <v>456224.96409999998</v>
      </c>
      <c r="E9" s="418">
        <v>34559311</v>
      </c>
      <c r="F9" s="418">
        <v>263411.82620000001</v>
      </c>
      <c r="G9" s="418">
        <v>30334567</v>
      </c>
      <c r="H9" s="418">
        <v>229533.27929999999</v>
      </c>
      <c r="I9" s="418">
        <v>123179969</v>
      </c>
      <c r="J9" s="418">
        <v>949170.06960000005</v>
      </c>
      <c r="K9" s="418">
        <v>4593310</v>
      </c>
      <c r="L9" s="418">
        <v>35033.710249999996</v>
      </c>
    </row>
    <row r="10" spans="1:12" s="24" customFormat="1">
      <c r="A10" s="455" t="s">
        <v>356</v>
      </c>
      <c r="B10" s="418">
        <v>23</v>
      </c>
      <c r="C10" s="418">
        <v>55160793</v>
      </c>
      <c r="D10" s="418">
        <v>429355.04470000003</v>
      </c>
      <c r="E10" s="418">
        <v>35967687</v>
      </c>
      <c r="F10" s="418">
        <v>271284.10320000001</v>
      </c>
      <c r="G10" s="418">
        <v>32389301</v>
      </c>
      <c r="H10" s="418">
        <v>242756.524</v>
      </c>
      <c r="I10" s="418">
        <v>123517781</v>
      </c>
      <c r="J10" s="418">
        <v>943395.67189999996</v>
      </c>
      <c r="K10" s="418">
        <v>4149989</v>
      </c>
      <c r="L10" s="418">
        <v>31789.242910000001</v>
      </c>
    </row>
    <row r="11" spans="1:12" s="24" customFormat="1">
      <c r="A11" s="455" t="s">
        <v>384</v>
      </c>
      <c r="B11" s="418">
        <v>21</v>
      </c>
      <c r="C11" s="418">
        <v>57090417</v>
      </c>
      <c r="D11" s="418">
        <v>447196.38219999999</v>
      </c>
      <c r="E11" s="418">
        <v>36908748</v>
      </c>
      <c r="F11" s="418">
        <v>276899.21950000001</v>
      </c>
      <c r="G11" s="418">
        <v>33912469</v>
      </c>
      <c r="H11" s="418">
        <v>252768.72779999999</v>
      </c>
      <c r="I11" s="418">
        <v>127911634</v>
      </c>
      <c r="J11" s="418">
        <v>976864.32949999999</v>
      </c>
      <c r="K11" s="418">
        <v>5261518</v>
      </c>
      <c r="L11" s="418">
        <v>39274.370020000002</v>
      </c>
    </row>
    <row r="12" spans="1:12" s="24" customFormat="1">
      <c r="A12" s="455" t="s">
        <v>386</v>
      </c>
      <c r="B12" s="418">
        <v>22</v>
      </c>
      <c r="C12" s="418">
        <v>70415755</v>
      </c>
      <c r="D12" s="418">
        <v>543128.39760000003</v>
      </c>
      <c r="E12" s="418">
        <v>40102425</v>
      </c>
      <c r="F12" s="418">
        <v>296868.95429999998</v>
      </c>
      <c r="G12" s="418">
        <v>38109897</v>
      </c>
      <c r="H12" s="418">
        <v>280076.2378</v>
      </c>
      <c r="I12" s="418">
        <v>148628077</v>
      </c>
      <c r="J12" s="418">
        <v>1120073.5900000001</v>
      </c>
      <c r="K12" s="418">
        <v>5393259</v>
      </c>
      <c r="L12" s="418">
        <v>40182.189149999998</v>
      </c>
    </row>
    <row r="13" spans="1:12" s="24" customFormat="1">
      <c r="A13" s="455" t="s">
        <v>392</v>
      </c>
      <c r="B13" s="418">
        <v>20</v>
      </c>
      <c r="C13" s="418">
        <v>60003856</v>
      </c>
      <c r="D13" s="418">
        <v>463941.2597</v>
      </c>
      <c r="E13" s="418">
        <v>36269425</v>
      </c>
      <c r="F13" s="418">
        <v>268329.96460000001</v>
      </c>
      <c r="G13" s="418">
        <v>33365914</v>
      </c>
      <c r="H13" s="418">
        <v>245397.05780000001</v>
      </c>
      <c r="I13" s="418">
        <v>129639195</v>
      </c>
      <c r="J13" s="418">
        <v>977668.28209999995</v>
      </c>
      <c r="K13" s="418">
        <v>4976914</v>
      </c>
      <c r="L13" s="418">
        <v>37495.171690000003</v>
      </c>
    </row>
    <row r="14" spans="1:12" s="24" customFormat="1">
      <c r="A14" s="455" t="s">
        <v>396</v>
      </c>
      <c r="B14" s="418">
        <v>20</v>
      </c>
      <c r="C14" s="418">
        <v>66199472</v>
      </c>
      <c r="D14" s="418">
        <v>514324.04830000002</v>
      </c>
      <c r="E14" s="418">
        <v>33611641</v>
      </c>
      <c r="F14" s="418">
        <v>251110.67329999999</v>
      </c>
      <c r="G14" s="418">
        <v>34857933</v>
      </c>
      <c r="H14" s="418">
        <v>258677.29</v>
      </c>
      <c r="I14" s="418">
        <v>134669046</v>
      </c>
      <c r="J14" s="418">
        <v>1024112.012</v>
      </c>
      <c r="K14" s="418">
        <v>5694357</v>
      </c>
      <c r="L14" s="418">
        <v>43011.455580000002</v>
      </c>
    </row>
    <row r="15" spans="1:12" s="24" customFormat="1">
      <c r="A15" s="455" t="s">
        <v>457</v>
      </c>
      <c r="B15" s="418">
        <v>22</v>
      </c>
      <c r="C15" s="418">
        <v>72299426</v>
      </c>
      <c r="D15" s="418">
        <v>569761.9669</v>
      </c>
      <c r="E15" s="418">
        <v>42815882</v>
      </c>
      <c r="F15" s="418">
        <v>317721.21990000003</v>
      </c>
      <c r="G15" s="418">
        <v>37017592</v>
      </c>
      <c r="H15" s="418">
        <v>273135.6508</v>
      </c>
      <c r="I15" s="418">
        <v>152132900</v>
      </c>
      <c r="J15" s="418">
        <v>1160618.838</v>
      </c>
      <c r="K15" s="418">
        <v>7299856</v>
      </c>
      <c r="L15" s="418">
        <v>54622.342980000001</v>
      </c>
    </row>
    <row r="16" spans="1:12" s="24" customFormat="1">
      <c r="A16" s="455" t="s">
        <v>1095</v>
      </c>
      <c r="B16" s="418">
        <v>20</v>
      </c>
      <c r="C16" s="418">
        <v>58634264</v>
      </c>
      <c r="D16" s="418">
        <v>459420.55959999998</v>
      </c>
      <c r="E16" s="418">
        <v>39457480</v>
      </c>
      <c r="F16" s="418">
        <v>290430.01429999998</v>
      </c>
      <c r="G16" s="418">
        <v>34311768</v>
      </c>
      <c r="H16" s="418">
        <v>251354.9436</v>
      </c>
      <c r="I16" s="418">
        <v>132403512</v>
      </c>
      <c r="J16" s="418">
        <v>1001205.517</v>
      </c>
      <c r="K16" s="418">
        <v>8961320</v>
      </c>
      <c r="L16" s="418">
        <v>73519.804399999994</v>
      </c>
    </row>
    <row r="17" spans="1:12" s="24" customFormat="1">
      <c r="A17" s="455" t="s">
        <v>1184</v>
      </c>
      <c r="B17" s="418">
        <v>19</v>
      </c>
      <c r="C17" s="418">
        <v>64101180</v>
      </c>
      <c r="D17" s="418">
        <v>496557.66950000002</v>
      </c>
      <c r="E17" s="418">
        <v>42379496</v>
      </c>
      <c r="F17" s="418">
        <v>310704.8775</v>
      </c>
      <c r="G17" s="418">
        <v>37715027</v>
      </c>
      <c r="H17" s="418">
        <v>275226.36949999997</v>
      </c>
      <c r="I17" s="418">
        <v>144195703</v>
      </c>
      <c r="J17" s="418">
        <v>1082488.916</v>
      </c>
      <c r="K17" s="418">
        <v>9514933</v>
      </c>
      <c r="L17" s="418">
        <v>78174.781400000007</v>
      </c>
    </row>
    <row r="18" spans="1:12" s="24" customFormat="1">
      <c r="A18" s="1274" t="s">
        <v>545</v>
      </c>
      <c r="B18" s="1274"/>
      <c r="C18" s="1274"/>
      <c r="D18" s="1274"/>
      <c r="E18" s="1274"/>
      <c r="F18" s="1274"/>
      <c r="G18" s="1274"/>
      <c r="H18" s="1274"/>
      <c r="I18" s="1274"/>
      <c r="J18" s="1274"/>
      <c r="K18" s="1274"/>
      <c r="L18" s="1274"/>
    </row>
    <row r="19" spans="1:12" s="24" customFormat="1">
      <c r="A19" s="24" t="s">
        <v>590</v>
      </c>
    </row>
    <row r="20" spans="1:12" s="24" customFormat="1">
      <c r="A20" s="24" t="s">
        <v>591</v>
      </c>
    </row>
    <row r="21" spans="1:12">
      <c r="A21" s="1274" t="s">
        <v>1173</v>
      </c>
      <c r="B21" s="1274"/>
      <c r="C21" s="1274"/>
      <c r="D21" s="1274"/>
      <c r="E21" s="1274"/>
      <c r="F21" s="1274"/>
      <c r="G21" s="1274"/>
      <c r="H21" s="1274"/>
      <c r="I21" s="1274"/>
      <c r="J21" s="1274"/>
      <c r="K21" s="1274"/>
      <c r="L21" s="1274"/>
    </row>
    <row r="22" spans="1:12">
      <c r="A22" s="1274" t="s">
        <v>157</v>
      </c>
      <c r="B22" s="1274"/>
      <c r="C22" s="1274"/>
      <c r="D22" s="1274"/>
      <c r="E22" s="1274"/>
      <c r="F22" s="1274"/>
      <c r="G22" s="1274"/>
      <c r="H22" s="1274"/>
      <c r="I22" s="1274"/>
      <c r="J22" s="1274"/>
      <c r="K22" s="1274"/>
      <c r="L22" s="1274"/>
    </row>
    <row r="28" spans="1:12">
      <c r="A28" s="463"/>
      <c r="B28" s="463"/>
      <c r="C28" s="463"/>
      <c r="D28" s="463"/>
      <c r="E28" s="463"/>
      <c r="F28" s="463"/>
      <c r="G28" s="463"/>
      <c r="H28" s="463"/>
      <c r="I28" s="463"/>
      <c r="J28" s="463"/>
      <c r="K28" s="463"/>
      <c r="L28" s="463"/>
    </row>
    <row r="29" spans="1:12">
      <c r="B29" s="33"/>
      <c r="C29" s="33"/>
      <c r="D29" s="33"/>
      <c r="E29" s="33"/>
      <c r="F29" s="33"/>
      <c r="G29" s="33"/>
      <c r="H29" s="33"/>
      <c r="I29" s="33"/>
      <c r="J29" s="33"/>
      <c r="K29" s="33"/>
      <c r="L29" s="33"/>
    </row>
  </sheetData>
  <mergeCells count="18">
    <mergeCell ref="A21:L21"/>
    <mergeCell ref="A22:L22"/>
    <mergeCell ref="G3:H3"/>
    <mergeCell ref="I3:I4"/>
    <mergeCell ref="J3:J4"/>
    <mergeCell ref="K3:K4"/>
    <mergeCell ref="L3:L4"/>
    <mergeCell ref="A18:L18"/>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24"/>
  <sheetViews>
    <sheetView zoomScaleNormal="100" workbookViewId="0">
      <selection activeCell="K6" sqref="K6"/>
    </sheetView>
  </sheetViews>
  <sheetFormatPr defaultColWidth="8.85546875" defaultRowHeight="15"/>
  <cols>
    <col min="1" max="1" width="9.42578125" style="21" bestFit="1" customWidth="1"/>
    <col min="2" max="2" width="7.7109375" style="21" bestFit="1" customWidth="1"/>
    <col min="3" max="9" width="12.140625" style="21" bestFit="1" customWidth="1"/>
    <col min="10" max="10" width="10" style="21" bestFit="1" customWidth="1"/>
    <col min="11" max="11" width="14.140625" style="21" bestFit="1" customWidth="1"/>
    <col min="12" max="12" width="9.140625" style="21" bestFit="1" customWidth="1"/>
    <col min="13" max="13" width="11.42578125" style="21" bestFit="1" customWidth="1"/>
    <col min="14" max="14" width="17.5703125" style="21" bestFit="1" customWidth="1"/>
    <col min="15" max="15" width="11.85546875" style="21" bestFit="1" customWidth="1"/>
    <col min="16" max="16" width="19.28515625" style="21" bestFit="1" customWidth="1"/>
    <col min="17" max="17" width="9" style="21" bestFit="1" customWidth="1"/>
    <col min="18" max="16384" width="8.85546875" style="21"/>
  </cols>
  <sheetData>
    <row r="1" spans="1:16" ht="15.75" customHeight="1">
      <c r="A1" s="1236" t="s">
        <v>592</v>
      </c>
      <c r="B1" s="1236"/>
      <c r="C1" s="1236"/>
      <c r="D1" s="1236"/>
      <c r="E1" s="1236"/>
      <c r="F1" s="1236"/>
      <c r="G1" s="1236"/>
      <c r="H1" s="1236"/>
      <c r="I1" s="1236"/>
      <c r="J1" s="1236"/>
      <c r="K1" s="1236"/>
      <c r="L1" s="1236"/>
    </row>
    <row r="2" spans="1:16" s="24" customFormat="1" ht="24" customHeight="1">
      <c r="A2" s="1315" t="s">
        <v>534</v>
      </c>
      <c r="B2" s="1315" t="s">
        <v>585</v>
      </c>
      <c r="C2" s="1321" t="s">
        <v>574</v>
      </c>
      <c r="D2" s="1323"/>
      <c r="E2" s="1378" t="s">
        <v>586</v>
      </c>
      <c r="F2" s="1378"/>
      <c r="G2" s="1378"/>
      <c r="H2" s="1378"/>
      <c r="I2" s="1321" t="s">
        <v>53</v>
      </c>
      <c r="J2" s="1323"/>
      <c r="K2" s="1379" t="s">
        <v>593</v>
      </c>
      <c r="L2" s="1380"/>
    </row>
    <row r="3" spans="1:16" s="24" customFormat="1" ht="18" customHeight="1">
      <c r="A3" s="1301"/>
      <c r="B3" s="1301"/>
      <c r="C3" s="1376" t="s">
        <v>542</v>
      </c>
      <c r="D3" s="1376" t="s">
        <v>543</v>
      </c>
      <c r="E3" s="1321" t="s">
        <v>540</v>
      </c>
      <c r="F3" s="1323"/>
      <c r="G3" s="1321" t="s">
        <v>541</v>
      </c>
      <c r="H3" s="1323"/>
      <c r="I3" s="1315" t="s">
        <v>578</v>
      </c>
      <c r="J3" s="1381" t="s">
        <v>124</v>
      </c>
      <c r="K3" s="1376" t="s">
        <v>542</v>
      </c>
      <c r="L3" s="1376" t="s">
        <v>589</v>
      </c>
    </row>
    <row r="4" spans="1:16" s="24" customFormat="1" ht="34.5" customHeight="1">
      <c r="A4" s="1316"/>
      <c r="B4" s="1316"/>
      <c r="C4" s="1377"/>
      <c r="D4" s="1377"/>
      <c r="E4" s="432" t="s">
        <v>542</v>
      </c>
      <c r="F4" s="432" t="s">
        <v>543</v>
      </c>
      <c r="G4" s="432" t="s">
        <v>542</v>
      </c>
      <c r="H4" s="432" t="s">
        <v>543</v>
      </c>
      <c r="I4" s="1316"/>
      <c r="J4" s="1381"/>
      <c r="K4" s="1377"/>
      <c r="L4" s="1377"/>
    </row>
    <row r="5" spans="1:16" s="25" customFormat="1" ht="18" customHeight="1">
      <c r="A5" s="454" t="s">
        <v>58</v>
      </c>
      <c r="B5" s="486">
        <v>243</v>
      </c>
      <c r="C5" s="486">
        <v>5783785</v>
      </c>
      <c r="D5" s="486">
        <v>41521.070337750003</v>
      </c>
      <c r="E5" s="486">
        <v>234838</v>
      </c>
      <c r="F5" s="486">
        <v>1757.805652</v>
      </c>
      <c r="G5" s="486">
        <v>273575</v>
      </c>
      <c r="H5" s="486">
        <v>2045.6429625000001</v>
      </c>
      <c r="I5" s="486">
        <v>6292198</v>
      </c>
      <c r="J5" s="486">
        <v>45324.51895225</v>
      </c>
      <c r="K5" s="486">
        <v>6073</v>
      </c>
      <c r="L5" s="486">
        <v>45.977366000000004</v>
      </c>
      <c r="M5" s="487"/>
    </row>
    <row r="6" spans="1:16" s="25" customFormat="1" ht="18" customHeight="1">
      <c r="A6" s="454" t="s">
        <v>61</v>
      </c>
      <c r="B6" s="486">
        <f>SUM(B7:B20)</f>
        <v>224</v>
      </c>
      <c r="C6" s="486">
        <f t="shared" ref="C6:J6" si="0">SUM(C7:C20)</f>
        <v>11289217</v>
      </c>
      <c r="D6" s="486">
        <f t="shared" si="0"/>
        <v>83985.050354499996</v>
      </c>
      <c r="E6" s="486">
        <f t="shared" si="0"/>
        <v>6232</v>
      </c>
      <c r="F6" s="486">
        <f t="shared" si="0"/>
        <v>48.432587499999997</v>
      </c>
      <c r="G6" s="486">
        <f t="shared" si="0"/>
        <v>5125</v>
      </c>
      <c r="H6" s="486">
        <f t="shared" si="0"/>
        <v>37.265379749999994</v>
      </c>
      <c r="I6" s="486">
        <f t="shared" si="0"/>
        <v>11300574</v>
      </c>
      <c r="J6" s="486">
        <f t="shared" si="0"/>
        <v>84070.748321749998</v>
      </c>
      <c r="K6" s="486">
        <f>K17</f>
        <v>60545</v>
      </c>
      <c r="L6" s="486">
        <f>L17</f>
        <v>495.62906075000001</v>
      </c>
      <c r="M6" s="487"/>
    </row>
    <row r="7" spans="1:16" s="24" customFormat="1" ht="18" customHeight="1">
      <c r="A7" s="455" t="s">
        <v>60</v>
      </c>
      <c r="B7" s="418">
        <v>17</v>
      </c>
      <c r="C7" s="418">
        <v>233754</v>
      </c>
      <c r="D7" s="418">
        <v>1785.2814207500001</v>
      </c>
      <c r="E7" s="418">
        <v>0</v>
      </c>
      <c r="F7" s="418">
        <v>0</v>
      </c>
      <c r="G7" s="418">
        <v>0</v>
      </c>
      <c r="H7" s="418">
        <v>0</v>
      </c>
      <c r="I7" s="418">
        <v>233754</v>
      </c>
      <c r="J7" s="418">
        <v>1785.2814207500001</v>
      </c>
      <c r="K7" s="418">
        <v>22075</v>
      </c>
      <c r="L7" s="418">
        <v>166.24752325</v>
      </c>
      <c r="M7" s="488"/>
      <c r="N7" s="488"/>
      <c r="O7" s="488"/>
      <c r="P7" s="488"/>
    </row>
    <row r="8" spans="1:16" s="24" customFormat="1" ht="18" customHeight="1">
      <c r="A8" s="455" t="s">
        <v>59</v>
      </c>
      <c r="B8" s="418">
        <v>18</v>
      </c>
      <c r="C8" s="418">
        <v>224568</v>
      </c>
      <c r="D8" s="418">
        <v>1702.42343375</v>
      </c>
      <c r="E8" s="418">
        <v>0</v>
      </c>
      <c r="F8" s="418">
        <v>0</v>
      </c>
      <c r="G8" s="418">
        <v>0</v>
      </c>
      <c r="H8" s="418">
        <v>0</v>
      </c>
      <c r="I8" s="418">
        <v>224568</v>
      </c>
      <c r="J8" s="418">
        <v>1702.42343375</v>
      </c>
      <c r="K8" s="418">
        <v>9679</v>
      </c>
      <c r="L8" s="418">
        <v>73.879713749999993</v>
      </c>
      <c r="M8" s="488"/>
      <c r="N8" s="488"/>
      <c r="O8" s="488"/>
      <c r="P8" s="488"/>
    </row>
    <row r="9" spans="1:16" s="24" customFormat="1" ht="18" customHeight="1">
      <c r="A9" s="455" t="s">
        <v>310</v>
      </c>
      <c r="B9" s="418">
        <v>22</v>
      </c>
      <c r="C9" s="418">
        <v>375979</v>
      </c>
      <c r="D9" s="418">
        <v>2854.2512265</v>
      </c>
      <c r="E9" s="418">
        <v>0</v>
      </c>
      <c r="F9" s="418">
        <v>0</v>
      </c>
      <c r="G9" s="418">
        <v>0</v>
      </c>
      <c r="H9" s="418">
        <v>0</v>
      </c>
      <c r="I9" s="418">
        <v>375979</v>
      </c>
      <c r="J9" s="418">
        <v>2854.2512265</v>
      </c>
      <c r="K9" s="418">
        <v>15683</v>
      </c>
      <c r="L9" s="418">
        <v>119.16822025</v>
      </c>
      <c r="M9" s="488"/>
      <c r="N9" s="488"/>
      <c r="O9" s="488"/>
      <c r="P9" s="488"/>
    </row>
    <row r="10" spans="1:16" s="24" customFormat="1" ht="18" customHeight="1">
      <c r="A10" s="455" t="s">
        <v>356</v>
      </c>
      <c r="B10" s="418">
        <v>23</v>
      </c>
      <c r="C10" s="418">
        <v>537915</v>
      </c>
      <c r="D10" s="418">
        <v>4042.2201822500001</v>
      </c>
      <c r="E10" s="418">
        <v>565</v>
      </c>
      <c r="F10" s="418">
        <v>4.2009162499999997</v>
      </c>
      <c r="G10" s="418">
        <v>2500</v>
      </c>
      <c r="H10" s="418">
        <v>18.001124999999998</v>
      </c>
      <c r="I10" s="418">
        <v>540980</v>
      </c>
      <c r="J10" s="418">
        <v>4064.4222235000002</v>
      </c>
      <c r="K10" s="418">
        <v>13180</v>
      </c>
      <c r="L10" s="418">
        <v>99.837251749999993</v>
      </c>
      <c r="M10" s="488"/>
      <c r="N10" s="488"/>
      <c r="O10" s="488"/>
      <c r="P10" s="488"/>
    </row>
    <row r="11" spans="1:16" s="24" customFormat="1" ht="18" customHeight="1">
      <c r="A11" s="455" t="s">
        <v>384</v>
      </c>
      <c r="B11" s="418">
        <v>21</v>
      </c>
      <c r="C11" s="418">
        <v>706873</v>
      </c>
      <c r="D11" s="418">
        <v>5291.3987129999996</v>
      </c>
      <c r="E11" s="418">
        <v>0</v>
      </c>
      <c r="F11" s="418">
        <v>0</v>
      </c>
      <c r="G11" s="418">
        <v>0</v>
      </c>
      <c r="H11" s="418">
        <v>0</v>
      </c>
      <c r="I11" s="418">
        <v>706873</v>
      </c>
      <c r="J11" s="418">
        <v>5291.3987129999996</v>
      </c>
      <c r="K11" s="418">
        <v>14445</v>
      </c>
      <c r="L11" s="418">
        <v>106.699082</v>
      </c>
      <c r="M11" s="488"/>
      <c r="N11" s="488"/>
      <c r="O11" s="488"/>
      <c r="P11" s="488"/>
    </row>
    <row r="12" spans="1:16" s="24" customFormat="1" ht="18" customHeight="1">
      <c r="A12" s="455" t="s">
        <v>386</v>
      </c>
      <c r="B12" s="418">
        <v>22</v>
      </c>
      <c r="C12" s="418">
        <v>934628</v>
      </c>
      <c r="D12" s="418">
        <v>6884.9063724999996</v>
      </c>
      <c r="E12" s="418">
        <v>500</v>
      </c>
      <c r="F12" s="418">
        <v>3.7099250000000001</v>
      </c>
      <c r="G12" s="418">
        <v>0</v>
      </c>
      <c r="H12" s="418">
        <v>0</v>
      </c>
      <c r="I12" s="418">
        <v>935128</v>
      </c>
      <c r="J12" s="418">
        <v>6888.6162974999997</v>
      </c>
      <c r="K12" s="418">
        <v>18028</v>
      </c>
      <c r="L12" s="418">
        <v>134.462391</v>
      </c>
      <c r="M12" s="488"/>
      <c r="N12" s="488"/>
      <c r="O12" s="488"/>
      <c r="P12" s="488"/>
    </row>
    <row r="13" spans="1:16" s="24" customFormat="1" ht="18" customHeight="1">
      <c r="A13" s="455" t="s">
        <v>392</v>
      </c>
      <c r="B13" s="418">
        <v>20</v>
      </c>
      <c r="C13" s="418">
        <v>1232325</v>
      </c>
      <c r="D13" s="418">
        <v>9067.6227062500002</v>
      </c>
      <c r="E13" s="418">
        <v>530</v>
      </c>
      <c r="F13" s="418">
        <v>4.40069</v>
      </c>
      <c r="G13" s="418">
        <v>429</v>
      </c>
      <c r="H13" s="418">
        <v>3.1778697500000002</v>
      </c>
      <c r="I13" s="418">
        <v>1233284</v>
      </c>
      <c r="J13" s="418">
        <v>9075.201266</v>
      </c>
      <c r="K13" s="418">
        <v>12722</v>
      </c>
      <c r="L13" s="418">
        <v>95.381641999999999</v>
      </c>
      <c r="M13" s="488"/>
      <c r="N13" s="488"/>
      <c r="O13" s="488"/>
      <c r="P13" s="488"/>
    </row>
    <row r="14" spans="1:16" s="24" customFormat="1" ht="18" customHeight="1">
      <c r="A14" s="455" t="s">
        <v>396</v>
      </c>
      <c r="B14" s="418">
        <v>20</v>
      </c>
      <c r="C14" s="418">
        <v>1655784</v>
      </c>
      <c r="D14" s="418">
        <v>12331.038576999999</v>
      </c>
      <c r="E14" s="418">
        <v>866</v>
      </c>
      <c r="F14" s="418">
        <v>6.438898</v>
      </c>
      <c r="G14" s="418">
        <v>989</v>
      </c>
      <c r="H14" s="418">
        <v>7.2353595000000004</v>
      </c>
      <c r="I14" s="418">
        <v>1657639</v>
      </c>
      <c r="J14" s="418">
        <v>12344.7128345</v>
      </c>
      <c r="K14" s="418">
        <v>42379</v>
      </c>
      <c r="L14" s="418">
        <v>320.41322150000002</v>
      </c>
      <c r="M14" s="488"/>
      <c r="N14" s="488"/>
      <c r="O14" s="488"/>
      <c r="P14" s="488"/>
    </row>
    <row r="15" spans="1:16" s="24" customFormat="1" ht="18" customHeight="1">
      <c r="A15" s="455" t="s">
        <v>457</v>
      </c>
      <c r="B15" s="418">
        <v>22</v>
      </c>
      <c r="C15" s="418">
        <v>1923894</v>
      </c>
      <c r="D15" s="418">
        <v>14305.647661499999</v>
      </c>
      <c r="E15" s="418">
        <v>303</v>
      </c>
      <c r="F15" s="418">
        <v>2.2392972499999999</v>
      </c>
      <c r="G15" s="418">
        <v>323</v>
      </c>
      <c r="H15" s="418">
        <v>2.3893615000000001</v>
      </c>
      <c r="I15" s="418">
        <v>1924520</v>
      </c>
      <c r="J15" s="418">
        <v>14310.276320249999</v>
      </c>
      <c r="K15" s="418">
        <v>70772</v>
      </c>
      <c r="L15" s="418">
        <v>566.23490400000003</v>
      </c>
      <c r="M15" s="488"/>
      <c r="N15" s="488"/>
      <c r="O15" s="488"/>
      <c r="P15" s="488"/>
    </row>
    <row r="16" spans="1:16" s="24" customFormat="1" ht="18" customHeight="1">
      <c r="A16" s="455" t="s">
        <v>1095</v>
      </c>
      <c r="B16" s="418">
        <v>20</v>
      </c>
      <c r="C16" s="418">
        <v>1830392</v>
      </c>
      <c r="D16" s="418">
        <v>13556.619586999999</v>
      </c>
      <c r="E16" s="418">
        <v>446</v>
      </c>
      <c r="F16" s="418">
        <v>3.2683589999999998</v>
      </c>
      <c r="G16" s="418">
        <v>325</v>
      </c>
      <c r="H16" s="418">
        <v>2.38291875</v>
      </c>
      <c r="I16" s="418">
        <v>1831163</v>
      </c>
      <c r="J16" s="418">
        <v>13562.27086475</v>
      </c>
      <c r="K16" s="418">
        <v>131438</v>
      </c>
      <c r="L16" s="418">
        <v>1074.38045375</v>
      </c>
      <c r="M16" s="488"/>
      <c r="N16" s="488"/>
      <c r="O16" s="488"/>
      <c r="P16" s="488"/>
    </row>
    <row r="17" spans="1:16" s="24" customFormat="1" ht="18" customHeight="1">
      <c r="A17" s="455" t="s">
        <v>1184</v>
      </c>
      <c r="B17" s="418">
        <v>19</v>
      </c>
      <c r="C17" s="418">
        <v>1633105</v>
      </c>
      <c r="D17" s="418">
        <v>12163.640474</v>
      </c>
      <c r="E17" s="418">
        <v>3022</v>
      </c>
      <c r="F17" s="418">
        <v>24.174502</v>
      </c>
      <c r="G17" s="418">
        <v>559</v>
      </c>
      <c r="H17" s="418">
        <v>4.0787452499999999</v>
      </c>
      <c r="I17" s="418">
        <v>1636686</v>
      </c>
      <c r="J17" s="418">
        <v>12191.89372125</v>
      </c>
      <c r="K17" s="418">
        <v>60545</v>
      </c>
      <c r="L17" s="418">
        <v>495.62906075000001</v>
      </c>
      <c r="M17" s="488"/>
      <c r="N17" s="488"/>
      <c r="O17" s="488"/>
      <c r="P17" s="488"/>
    </row>
    <row r="18" spans="1:16" s="24" customFormat="1" ht="18" customHeight="1">
      <c r="A18" s="28" t="s">
        <v>519</v>
      </c>
      <c r="B18" s="31"/>
      <c r="C18" s="32"/>
      <c r="D18" s="26"/>
      <c r="E18" s="26"/>
      <c r="F18" s="26"/>
      <c r="G18" s="26"/>
      <c r="H18" s="26"/>
      <c r="I18" s="32"/>
      <c r="J18" s="26"/>
      <c r="K18" s="26"/>
      <c r="L18" s="26"/>
    </row>
    <row r="19" spans="1:16" s="24" customFormat="1" ht="13.5" customHeight="1">
      <c r="A19" s="1274" t="s">
        <v>1173</v>
      </c>
      <c r="B19" s="1274"/>
      <c r="C19" s="1274"/>
      <c r="D19" s="1274"/>
      <c r="E19" s="1274"/>
      <c r="F19" s="1274"/>
      <c r="G19" s="1274"/>
      <c r="H19" s="1274"/>
      <c r="I19" s="1274"/>
      <c r="J19" s="1274"/>
    </row>
    <row r="20" spans="1:16" s="24" customFormat="1" ht="14.25" customHeight="1">
      <c r="A20" s="1274" t="s">
        <v>128</v>
      </c>
      <c r="B20" s="1274"/>
      <c r="C20" s="1274"/>
      <c r="D20" s="1274"/>
      <c r="E20" s="1274"/>
      <c r="F20" s="1274"/>
      <c r="G20" s="1274"/>
      <c r="H20" s="1274"/>
      <c r="I20" s="1274"/>
      <c r="J20" s="1274"/>
    </row>
    <row r="24" spans="1:16">
      <c r="B24" s="33"/>
      <c r="C24" s="33"/>
      <c r="D24" s="33"/>
      <c r="E24" s="33"/>
      <c r="F24" s="33"/>
      <c r="G24" s="33"/>
      <c r="H24" s="33"/>
      <c r="I24" s="33"/>
      <c r="J24" s="33"/>
      <c r="K24" s="33"/>
      <c r="L24" s="33"/>
      <c r="M24" s="33"/>
      <c r="N24" s="33"/>
    </row>
  </sheetData>
  <mergeCells count="17">
    <mergeCell ref="A20:J20"/>
    <mergeCell ref="G3:H3"/>
    <mergeCell ref="I3:I4"/>
    <mergeCell ref="J3:J4"/>
    <mergeCell ref="K3:K4"/>
    <mergeCell ref="L3:L4"/>
    <mergeCell ref="A19:J19"/>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24"/>
  <sheetViews>
    <sheetView zoomScaleNormal="100" workbookViewId="0">
      <selection sqref="A1:XFD1048576"/>
    </sheetView>
  </sheetViews>
  <sheetFormatPr defaultColWidth="8.85546875" defaultRowHeight="15"/>
  <cols>
    <col min="1" max="1" width="8.85546875" style="21" customWidth="1"/>
    <col min="2" max="5" width="10.42578125" style="21" bestFit="1" customWidth="1"/>
    <col min="6" max="6" width="6.7109375" style="21" bestFit="1" customWidth="1"/>
    <col min="7" max="10" width="10.42578125" style="21" bestFit="1" customWidth="1"/>
    <col min="11" max="11" width="6.7109375" style="21" bestFit="1" customWidth="1"/>
    <col min="12" max="15" width="10.42578125" style="21" bestFit="1" customWidth="1"/>
    <col min="16" max="16" width="9" style="21" bestFit="1" customWidth="1"/>
    <col min="17" max="16384" width="8.85546875" style="21"/>
  </cols>
  <sheetData>
    <row r="1" spans="1:16" ht="15.75" customHeight="1">
      <c r="A1" s="1223" t="s">
        <v>594</v>
      </c>
      <c r="B1" s="1223"/>
      <c r="C1" s="1223"/>
      <c r="D1" s="1223"/>
      <c r="E1" s="1223"/>
      <c r="F1" s="1223"/>
      <c r="G1" s="1223"/>
      <c r="H1" s="1223"/>
      <c r="I1" s="1223"/>
      <c r="J1" s="1223"/>
      <c r="K1" s="1223"/>
      <c r="L1" s="1223"/>
      <c r="M1" s="1223"/>
      <c r="N1" s="1223"/>
      <c r="O1" s="1223"/>
    </row>
    <row r="2" spans="1:16" ht="15.75" customHeight="1">
      <c r="A2" s="385"/>
      <c r="B2" s="385"/>
      <c r="C2" s="385"/>
      <c r="D2" s="385"/>
      <c r="E2" s="385"/>
      <c r="F2" s="385"/>
      <c r="G2" s="385"/>
      <c r="H2" s="385"/>
      <c r="I2" s="385"/>
      <c r="J2" s="385"/>
      <c r="K2" s="385"/>
      <c r="L2" s="385"/>
      <c r="M2" s="385"/>
      <c r="N2" s="385"/>
      <c r="O2" s="385"/>
      <c r="P2" s="21" t="s">
        <v>549</v>
      </c>
    </row>
    <row r="3" spans="1:16" s="22" customFormat="1" ht="18" customHeight="1">
      <c r="A3" s="1328" t="s">
        <v>534</v>
      </c>
      <c r="B3" s="1331" t="s">
        <v>87</v>
      </c>
      <c r="C3" s="1332"/>
      <c r="D3" s="1332"/>
      <c r="E3" s="1333"/>
      <c r="F3" s="1336" t="s">
        <v>53</v>
      </c>
      <c r="G3" s="1331" t="s">
        <v>88</v>
      </c>
      <c r="H3" s="1332"/>
      <c r="I3" s="1332"/>
      <c r="J3" s="1333"/>
      <c r="K3" s="1328" t="s">
        <v>53</v>
      </c>
      <c r="L3" s="1331" t="s">
        <v>89</v>
      </c>
      <c r="M3" s="1332"/>
      <c r="N3" s="1332"/>
      <c r="O3" s="1333"/>
      <c r="P3" s="1336" t="s">
        <v>53</v>
      </c>
    </row>
    <row r="4" spans="1:16" s="22" customFormat="1" ht="27" customHeight="1">
      <c r="A4" s="1329"/>
      <c r="B4" s="1334" t="s">
        <v>595</v>
      </c>
      <c r="C4" s="1335"/>
      <c r="D4" s="1331" t="s">
        <v>586</v>
      </c>
      <c r="E4" s="1333"/>
      <c r="F4" s="1382"/>
      <c r="G4" s="1334" t="s">
        <v>595</v>
      </c>
      <c r="H4" s="1335"/>
      <c r="I4" s="1331" t="s">
        <v>586</v>
      </c>
      <c r="J4" s="1333"/>
      <c r="K4" s="1329"/>
      <c r="L4" s="1334" t="s">
        <v>595</v>
      </c>
      <c r="M4" s="1335"/>
      <c r="N4" s="1331" t="s">
        <v>586</v>
      </c>
      <c r="O4" s="1333"/>
      <c r="P4" s="1382"/>
    </row>
    <row r="5" spans="1:16" s="22" customFormat="1" ht="42" customHeight="1">
      <c r="A5" s="1330"/>
      <c r="B5" s="442" t="s">
        <v>553</v>
      </c>
      <c r="C5" s="442" t="s">
        <v>554</v>
      </c>
      <c r="D5" s="442" t="s">
        <v>555</v>
      </c>
      <c r="E5" s="442" t="s">
        <v>556</v>
      </c>
      <c r="F5" s="1337"/>
      <c r="G5" s="442" t="s">
        <v>553</v>
      </c>
      <c r="H5" s="442" t="s">
        <v>554</v>
      </c>
      <c r="I5" s="442" t="s">
        <v>555</v>
      </c>
      <c r="J5" s="442" t="s">
        <v>556</v>
      </c>
      <c r="K5" s="1330"/>
      <c r="L5" s="442" t="s">
        <v>553</v>
      </c>
      <c r="M5" s="442" t="s">
        <v>554</v>
      </c>
      <c r="N5" s="442" t="s">
        <v>555</v>
      </c>
      <c r="O5" s="442" t="s">
        <v>556</v>
      </c>
      <c r="P5" s="1337"/>
    </row>
    <row r="6" spans="1:16" s="23" customFormat="1" ht="18" customHeight="1">
      <c r="A6" s="399" t="s">
        <v>58</v>
      </c>
      <c r="B6" s="489">
        <v>7222.5</v>
      </c>
      <c r="C6" s="489">
        <v>246.08</v>
      </c>
      <c r="D6" s="489">
        <v>5002.79</v>
      </c>
      <c r="E6" s="489">
        <v>76.14</v>
      </c>
      <c r="F6" s="405">
        <v>12547.51</v>
      </c>
      <c r="G6" s="489">
        <v>9038.7684582069996</v>
      </c>
      <c r="H6" s="489">
        <v>266.00635390000002</v>
      </c>
      <c r="I6" s="489">
        <v>1351.72486134</v>
      </c>
      <c r="J6" s="489">
        <v>553.36033283999996</v>
      </c>
      <c r="K6" s="405">
        <v>11209.860006286999</v>
      </c>
      <c r="L6" s="489">
        <v>95.838627000000002</v>
      </c>
      <c r="M6" s="489">
        <v>6.3884942999999996</v>
      </c>
      <c r="N6" s="489">
        <v>3.8640000000000001E-2</v>
      </c>
      <c r="O6" s="489">
        <v>1.0989999999999999E-3</v>
      </c>
      <c r="P6" s="405">
        <v>102.2668603</v>
      </c>
    </row>
    <row r="7" spans="1:16" s="23" customFormat="1" ht="18" customHeight="1">
      <c r="A7" s="399" t="s">
        <v>61</v>
      </c>
      <c r="B7" s="489">
        <f>SUM(B8:B21)</f>
        <v>6480.8200000000006</v>
      </c>
      <c r="C7" s="489">
        <f t="shared" ref="C7:P7" si="0">SUM(C8:C21)</f>
        <v>218.56</v>
      </c>
      <c r="D7" s="489">
        <f t="shared" si="0"/>
        <v>4698.21</v>
      </c>
      <c r="E7" s="489">
        <f t="shared" si="0"/>
        <v>118.98</v>
      </c>
      <c r="F7" s="489">
        <f t="shared" si="0"/>
        <v>11516.57</v>
      </c>
      <c r="G7" s="489">
        <f t="shared" si="0"/>
        <v>6705.5007488939991</v>
      </c>
      <c r="H7" s="489">
        <f t="shared" si="0"/>
        <v>212.54488306499999</v>
      </c>
      <c r="I7" s="489">
        <f t="shared" si="0"/>
        <v>1104.06253137</v>
      </c>
      <c r="J7" s="489">
        <f t="shared" si="0"/>
        <v>434.62610424000002</v>
      </c>
      <c r="K7" s="489">
        <f t="shared" si="0"/>
        <v>8456.7342675689997</v>
      </c>
      <c r="L7" s="489">
        <f t="shared" si="0"/>
        <v>86.395102250000008</v>
      </c>
      <c r="M7" s="489">
        <f t="shared" si="0"/>
        <v>7.6662200000000009</v>
      </c>
      <c r="N7" s="489">
        <f t="shared" si="0"/>
        <v>0</v>
      </c>
      <c r="O7" s="489">
        <f t="shared" si="0"/>
        <v>0</v>
      </c>
      <c r="P7" s="489">
        <f t="shared" si="0"/>
        <v>94.061322250000003</v>
      </c>
    </row>
    <row r="8" spans="1:16" s="22" customFormat="1" ht="18" customHeight="1">
      <c r="A8" s="490" t="s">
        <v>60</v>
      </c>
      <c r="B8" s="491">
        <v>1122.19</v>
      </c>
      <c r="C8" s="491">
        <v>12.14</v>
      </c>
      <c r="D8" s="491">
        <v>322.02999999999997</v>
      </c>
      <c r="E8" s="491">
        <v>8.34</v>
      </c>
      <c r="F8" s="411">
        <v>1464.7</v>
      </c>
      <c r="G8" s="491">
        <v>1732.109531028</v>
      </c>
      <c r="H8" s="491">
        <v>17.211897870000001</v>
      </c>
      <c r="I8" s="491">
        <v>118.462208</v>
      </c>
      <c r="J8" s="491">
        <v>30.032362689999999</v>
      </c>
      <c r="K8" s="411">
        <v>1897.8159995880001</v>
      </c>
      <c r="L8" s="491">
        <v>7.94</v>
      </c>
      <c r="M8" s="491">
        <v>0.317</v>
      </c>
      <c r="N8" s="491">
        <v>0</v>
      </c>
      <c r="O8" s="491">
        <v>0</v>
      </c>
      <c r="P8" s="411">
        <v>8.2569999999999997</v>
      </c>
    </row>
    <row r="9" spans="1:16" s="22" customFormat="1" ht="18" customHeight="1">
      <c r="A9" s="490" t="s">
        <v>59</v>
      </c>
      <c r="B9" s="491">
        <v>457.51</v>
      </c>
      <c r="C9" s="491">
        <v>4</v>
      </c>
      <c r="D9" s="491">
        <v>312.08999999999997</v>
      </c>
      <c r="E9" s="491">
        <v>3.94</v>
      </c>
      <c r="F9" s="411">
        <v>777.54</v>
      </c>
      <c r="G9" s="491">
        <v>555.48637647999999</v>
      </c>
      <c r="H9" s="491">
        <v>4.4865100900000003</v>
      </c>
      <c r="I9" s="491">
        <v>79.326992250000004</v>
      </c>
      <c r="J9" s="491">
        <v>16.697893109999999</v>
      </c>
      <c r="K9" s="411">
        <v>655.99777193</v>
      </c>
      <c r="L9" s="491">
        <v>12.65</v>
      </c>
      <c r="M9" s="491">
        <v>0.08</v>
      </c>
      <c r="N9" s="491">
        <v>0</v>
      </c>
      <c r="O9" s="491">
        <v>0</v>
      </c>
      <c r="P9" s="411">
        <v>12.73</v>
      </c>
    </row>
    <row r="10" spans="1:16" s="22" customFormat="1" ht="18" customHeight="1">
      <c r="A10" s="490" t="s">
        <v>310</v>
      </c>
      <c r="B10" s="491">
        <v>288.39999999999998</v>
      </c>
      <c r="C10" s="491">
        <v>4.17</v>
      </c>
      <c r="D10" s="491">
        <v>334.02</v>
      </c>
      <c r="E10" s="491">
        <v>4.12</v>
      </c>
      <c r="F10" s="411">
        <v>630.71</v>
      </c>
      <c r="G10" s="491">
        <v>360.42006702999998</v>
      </c>
      <c r="H10" s="491">
        <v>6.8948276499999999</v>
      </c>
      <c r="I10" s="491">
        <v>89.082384500000003</v>
      </c>
      <c r="J10" s="491">
        <v>23.39430685</v>
      </c>
      <c r="K10" s="411">
        <v>479.79158603000002</v>
      </c>
      <c r="L10" s="491">
        <v>6.3867542500000001</v>
      </c>
      <c r="M10" s="491">
        <v>0.75900000000000001</v>
      </c>
      <c r="N10" s="491">
        <v>0</v>
      </c>
      <c r="O10" s="491">
        <v>0</v>
      </c>
      <c r="P10" s="411">
        <v>7.1457542500000004</v>
      </c>
    </row>
    <row r="11" spans="1:16" s="22" customFormat="1" ht="18" customHeight="1">
      <c r="A11" s="490" t="s">
        <v>356</v>
      </c>
      <c r="B11" s="491">
        <v>371.52</v>
      </c>
      <c r="C11" s="491">
        <v>5.94</v>
      </c>
      <c r="D11" s="491">
        <v>417.16</v>
      </c>
      <c r="E11" s="491">
        <v>12.75</v>
      </c>
      <c r="F11" s="411">
        <v>807.37</v>
      </c>
      <c r="G11" s="491">
        <v>459.97380621999997</v>
      </c>
      <c r="H11" s="491">
        <v>9.0436626400000009</v>
      </c>
      <c r="I11" s="491">
        <v>95.182137499999996</v>
      </c>
      <c r="J11" s="491">
        <v>52.270053939999997</v>
      </c>
      <c r="K11" s="411">
        <v>616.46966029999999</v>
      </c>
      <c r="L11" s="491">
        <v>4.2533475000000003</v>
      </c>
      <c r="M11" s="491">
        <v>0.35235</v>
      </c>
      <c r="N11" s="491">
        <v>0</v>
      </c>
      <c r="O11" s="491">
        <v>0</v>
      </c>
      <c r="P11" s="411">
        <v>4.6056975000000007</v>
      </c>
    </row>
    <row r="12" spans="1:16" s="22" customFormat="1" ht="18" customHeight="1">
      <c r="A12" s="490" t="s">
        <v>384</v>
      </c>
      <c r="B12" s="491">
        <v>475.56</v>
      </c>
      <c r="C12" s="491">
        <v>6.14</v>
      </c>
      <c r="D12" s="491">
        <v>387.25</v>
      </c>
      <c r="E12" s="491">
        <v>6.53</v>
      </c>
      <c r="F12" s="411">
        <v>875.48</v>
      </c>
      <c r="G12" s="491">
        <v>461.19636310999999</v>
      </c>
      <c r="H12" s="491">
        <v>6.2852173699999998</v>
      </c>
      <c r="I12" s="491">
        <v>97.782923620000005</v>
      </c>
      <c r="J12" s="491">
        <v>27.036283709999999</v>
      </c>
      <c r="K12" s="411">
        <v>592.30078780999997</v>
      </c>
      <c r="L12" s="491">
        <v>16.86103975</v>
      </c>
      <c r="M12" s="491">
        <v>0.43604999999999999</v>
      </c>
      <c r="N12" s="491">
        <v>0</v>
      </c>
      <c r="O12" s="491">
        <v>0</v>
      </c>
      <c r="P12" s="411">
        <v>17.297089750000001</v>
      </c>
    </row>
    <row r="13" spans="1:16" s="22" customFormat="1" ht="18" customHeight="1">
      <c r="A13" s="490" t="s">
        <v>386</v>
      </c>
      <c r="B13" s="491">
        <v>394.99</v>
      </c>
      <c r="C13" s="491">
        <v>6.53</v>
      </c>
      <c r="D13" s="491">
        <v>520.28</v>
      </c>
      <c r="E13" s="491">
        <v>9.3699999999999992</v>
      </c>
      <c r="F13" s="411">
        <v>931.17</v>
      </c>
      <c r="G13" s="491">
        <v>359.49221784000002</v>
      </c>
      <c r="H13" s="491">
        <v>8.2159539600000002</v>
      </c>
      <c r="I13" s="491">
        <v>119.67712975000001</v>
      </c>
      <c r="J13" s="491">
        <v>34.743132070000001</v>
      </c>
      <c r="K13" s="411">
        <v>522.12843362000001</v>
      </c>
      <c r="L13" s="491">
        <v>5.9990617500000001</v>
      </c>
      <c r="M13" s="491">
        <v>0.2984</v>
      </c>
      <c r="N13" s="491">
        <v>0</v>
      </c>
      <c r="O13" s="491">
        <v>0</v>
      </c>
      <c r="P13" s="411">
        <v>6.2974617500000001</v>
      </c>
    </row>
    <row r="14" spans="1:16" s="22" customFormat="1" ht="18" customHeight="1">
      <c r="A14" s="490" t="s">
        <v>392</v>
      </c>
      <c r="B14" s="491">
        <v>418.49</v>
      </c>
      <c r="C14" s="491">
        <v>23.89</v>
      </c>
      <c r="D14" s="491">
        <v>448.51</v>
      </c>
      <c r="E14" s="491">
        <v>12.54</v>
      </c>
      <c r="F14" s="411">
        <v>903.43</v>
      </c>
      <c r="G14" s="491">
        <v>422.60093712999998</v>
      </c>
      <c r="H14" s="491">
        <v>23.103885819999999</v>
      </c>
      <c r="I14" s="491">
        <v>100.06898875</v>
      </c>
      <c r="J14" s="491">
        <v>38.28261217</v>
      </c>
      <c r="K14" s="411">
        <v>584.05642387</v>
      </c>
      <c r="L14" s="491">
        <v>2.1147982500000002</v>
      </c>
      <c r="M14" s="491">
        <v>0.79139999999999999</v>
      </c>
      <c r="N14" s="491">
        <v>0</v>
      </c>
      <c r="O14" s="491">
        <v>0</v>
      </c>
      <c r="P14" s="411">
        <v>2.9061982500000001</v>
      </c>
    </row>
    <row r="15" spans="1:16" s="22" customFormat="1" ht="18" customHeight="1">
      <c r="A15" s="490" t="s">
        <v>396</v>
      </c>
      <c r="B15" s="491">
        <v>351.22</v>
      </c>
      <c r="C15" s="491">
        <v>8.3699999999999992</v>
      </c>
      <c r="D15" s="491">
        <v>528.30999999999995</v>
      </c>
      <c r="E15" s="491">
        <v>12.8</v>
      </c>
      <c r="F15" s="411">
        <v>900.7</v>
      </c>
      <c r="G15" s="491">
        <v>413.86420867999999</v>
      </c>
      <c r="H15" s="491">
        <v>7.8530111600000003</v>
      </c>
      <c r="I15" s="491">
        <v>114.061824</v>
      </c>
      <c r="J15" s="491">
        <v>41.441971889999998</v>
      </c>
      <c r="K15" s="411">
        <v>577.22101572999998</v>
      </c>
      <c r="L15" s="491">
        <v>8.3106539999999995</v>
      </c>
      <c r="M15" s="491">
        <v>0.49543999999999999</v>
      </c>
      <c r="N15" s="491">
        <v>0</v>
      </c>
      <c r="O15" s="491">
        <v>0</v>
      </c>
      <c r="P15" s="411">
        <v>8.8060939999999999</v>
      </c>
    </row>
    <row r="16" spans="1:16" s="22" customFormat="1" ht="18" customHeight="1">
      <c r="A16" s="490">
        <v>44166</v>
      </c>
      <c r="B16" s="491">
        <v>1016.64</v>
      </c>
      <c r="C16" s="491">
        <v>75.14</v>
      </c>
      <c r="D16" s="491">
        <v>539.36</v>
      </c>
      <c r="E16" s="491">
        <v>14.730000000000002</v>
      </c>
      <c r="F16" s="411">
        <v>1645.8700000000001</v>
      </c>
      <c r="G16" s="491">
        <v>846.81923664999999</v>
      </c>
      <c r="H16" s="491">
        <v>65.450400880000004</v>
      </c>
      <c r="I16" s="491">
        <v>105.45410674999999</v>
      </c>
      <c r="J16" s="491">
        <v>48.713020149999998</v>
      </c>
      <c r="K16" s="411">
        <v>1066.43676443</v>
      </c>
      <c r="L16" s="491">
        <v>16.164539749999999</v>
      </c>
      <c r="M16" s="491">
        <v>2.03938</v>
      </c>
      <c r="N16" s="491">
        <v>0</v>
      </c>
      <c r="O16" s="491">
        <v>0</v>
      </c>
      <c r="P16" s="411">
        <v>18.203919750000001</v>
      </c>
    </row>
    <row r="17" spans="1:16" s="22" customFormat="1" ht="18" customHeight="1">
      <c r="A17" s="490">
        <v>44197</v>
      </c>
      <c r="B17" s="491">
        <v>597.88</v>
      </c>
      <c r="C17" s="491">
        <v>19.86</v>
      </c>
      <c r="D17" s="491">
        <v>413.11</v>
      </c>
      <c r="E17" s="491">
        <v>18.3</v>
      </c>
      <c r="F17" s="411">
        <v>1049.1500000000001</v>
      </c>
      <c r="G17" s="491">
        <v>487.38109917999998</v>
      </c>
      <c r="H17" s="491">
        <v>18.665646729999999</v>
      </c>
      <c r="I17" s="491">
        <v>80.424666000000002</v>
      </c>
      <c r="J17" s="491">
        <v>60.007125049999999</v>
      </c>
      <c r="K17" s="411">
        <v>646.47853696000004</v>
      </c>
      <c r="L17" s="491">
        <v>0.75490699999999999</v>
      </c>
      <c r="M17" s="491">
        <v>0.36720000000000003</v>
      </c>
      <c r="N17" s="491">
        <v>0</v>
      </c>
      <c r="O17" s="491">
        <v>0</v>
      </c>
      <c r="P17" s="411">
        <v>1.122107</v>
      </c>
    </row>
    <row r="18" spans="1:16" s="22" customFormat="1" ht="18" customHeight="1">
      <c r="A18" s="490">
        <v>44228</v>
      </c>
      <c r="B18" s="491">
        <v>986.42</v>
      </c>
      <c r="C18" s="491">
        <v>52.38</v>
      </c>
      <c r="D18" s="491">
        <v>476.09</v>
      </c>
      <c r="E18" s="491">
        <v>15.56</v>
      </c>
      <c r="F18" s="411">
        <v>1530.45</v>
      </c>
      <c r="G18" s="491">
        <v>606.15690554599996</v>
      </c>
      <c r="H18" s="491">
        <v>45.333868895000002</v>
      </c>
      <c r="I18" s="491">
        <v>104.53917025</v>
      </c>
      <c r="J18" s="491">
        <v>62.007342610000002</v>
      </c>
      <c r="K18" s="411">
        <v>818.03728730099999</v>
      </c>
      <c r="L18" s="491">
        <v>4.96</v>
      </c>
      <c r="M18" s="491">
        <v>1.73</v>
      </c>
      <c r="N18" s="491">
        <v>0</v>
      </c>
      <c r="O18" s="491">
        <v>0</v>
      </c>
      <c r="P18" s="411">
        <v>6.6899999999999995</v>
      </c>
    </row>
    <row r="19" spans="1:16" s="22" customFormat="1" ht="18" customHeight="1">
      <c r="A19" s="29" t="s">
        <v>519</v>
      </c>
      <c r="B19" s="492"/>
      <c r="C19" s="492"/>
      <c r="D19" s="492"/>
      <c r="E19" s="492"/>
      <c r="F19" s="34"/>
      <c r="G19" s="492"/>
      <c r="H19" s="492"/>
      <c r="I19" s="492"/>
      <c r="J19" s="492"/>
      <c r="K19" s="34"/>
      <c r="L19" s="492"/>
      <c r="M19" s="492"/>
      <c r="N19" s="492"/>
      <c r="O19" s="492"/>
      <c r="P19" s="34"/>
    </row>
    <row r="20" spans="1:16" s="22" customFormat="1" ht="13.5" customHeight="1">
      <c r="A20" s="1215" t="s">
        <v>1173</v>
      </c>
      <c r="B20" s="1215"/>
      <c r="C20" s="1215"/>
      <c r="D20" s="1215"/>
      <c r="E20" s="1215"/>
      <c r="F20" s="1215"/>
      <c r="G20" s="1215"/>
      <c r="H20" s="1215"/>
      <c r="I20" s="1215"/>
      <c r="J20" s="1215"/>
      <c r="K20" s="1215"/>
      <c r="L20" s="1215"/>
      <c r="M20" s="1215"/>
      <c r="N20" s="1215"/>
      <c r="O20" s="1215"/>
    </row>
    <row r="21" spans="1:16" s="22" customFormat="1" ht="15" customHeight="1">
      <c r="A21" s="1215" t="s">
        <v>596</v>
      </c>
      <c r="B21" s="1215"/>
      <c r="C21" s="1215"/>
      <c r="D21" s="1215"/>
      <c r="E21" s="1215"/>
      <c r="F21" s="1215"/>
      <c r="G21" s="1215"/>
      <c r="H21" s="1215"/>
      <c r="I21" s="1215"/>
      <c r="J21" s="1215"/>
      <c r="K21" s="1215"/>
      <c r="L21" s="1215"/>
      <c r="M21" s="1215"/>
      <c r="N21" s="1215"/>
      <c r="O21" s="1215"/>
    </row>
    <row r="23" spans="1:16">
      <c r="G23" s="493"/>
      <c r="H23" s="493"/>
      <c r="I23" s="493"/>
      <c r="J23" s="493"/>
      <c r="K23" s="493"/>
    </row>
    <row r="24" spans="1:16">
      <c r="G24" s="463"/>
      <c r="H24" s="463"/>
      <c r="I24" s="463"/>
      <c r="J24" s="463"/>
      <c r="K24" s="463"/>
    </row>
  </sheetData>
  <mergeCells count="16">
    <mergeCell ref="A20:O20"/>
    <mergeCell ref="A21:O21"/>
    <mergeCell ref="P3:P5"/>
    <mergeCell ref="B4:C4"/>
    <mergeCell ref="D4:E4"/>
    <mergeCell ref="G4:H4"/>
    <mergeCell ref="I4:J4"/>
    <mergeCell ref="L4:M4"/>
    <mergeCell ref="N4:O4"/>
    <mergeCell ref="A1:O1"/>
    <mergeCell ref="A3:A5"/>
    <mergeCell ref="B3:E3"/>
    <mergeCell ref="F3:F5"/>
    <mergeCell ref="G3:J3"/>
    <mergeCell ref="K3:K5"/>
    <mergeCell ref="L3:O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U48"/>
  <sheetViews>
    <sheetView zoomScaleNormal="100" workbookViewId="0">
      <selection activeCell="B6" sqref="B6"/>
    </sheetView>
  </sheetViews>
  <sheetFormatPr defaultColWidth="8.85546875" defaultRowHeight="15"/>
  <cols>
    <col min="1" max="1" width="12.140625" style="21" bestFit="1" customWidth="1"/>
    <col min="2" max="2" width="12.5703125" style="21" bestFit="1" customWidth="1"/>
    <col min="3" max="6" width="12.140625" style="21" bestFit="1" customWidth="1"/>
    <col min="7" max="7" width="11.140625" style="21" bestFit="1" customWidth="1"/>
    <col min="8" max="15" width="12.140625" style="21" bestFit="1" customWidth="1"/>
    <col min="16" max="16" width="9.140625" style="21" bestFit="1" customWidth="1"/>
    <col min="17" max="17" width="10.7109375" style="21" bestFit="1" customWidth="1"/>
    <col min="18" max="16384" width="8.85546875" style="21"/>
  </cols>
  <sheetData>
    <row r="1" spans="1:21" ht="15" customHeight="1">
      <c r="A1" s="1223" t="s">
        <v>597</v>
      </c>
      <c r="B1" s="1223"/>
      <c r="C1" s="1223"/>
      <c r="D1" s="1223"/>
      <c r="E1" s="1223"/>
      <c r="F1" s="1223"/>
      <c r="G1" s="1223"/>
      <c r="H1" s="1223"/>
      <c r="I1" s="1223"/>
    </row>
    <row r="2" spans="1:21" s="22" customFormat="1" ht="18" customHeight="1">
      <c r="A2" s="1336" t="s">
        <v>83</v>
      </c>
      <c r="B2" s="1384" t="s">
        <v>588</v>
      </c>
      <c r="C2" s="1385"/>
      <c r="D2" s="1385"/>
      <c r="E2" s="1385"/>
      <c r="F2" s="1385"/>
      <c r="G2" s="1385"/>
      <c r="H2" s="1386"/>
      <c r="I2" s="1384" t="s">
        <v>598</v>
      </c>
      <c r="J2" s="1385"/>
      <c r="K2" s="1385"/>
      <c r="L2" s="1385"/>
      <c r="M2" s="1385"/>
      <c r="N2" s="1385"/>
      <c r="O2" s="1386"/>
    </row>
    <row r="3" spans="1:21" s="22" customFormat="1" ht="18" customHeight="1">
      <c r="A3" s="1337"/>
      <c r="B3" s="494" t="s">
        <v>599</v>
      </c>
      <c r="C3" s="494" t="s">
        <v>600</v>
      </c>
      <c r="D3" s="494" t="s">
        <v>601</v>
      </c>
      <c r="E3" s="494" t="s">
        <v>602</v>
      </c>
      <c r="F3" s="494" t="s">
        <v>603</v>
      </c>
      <c r="G3" s="494" t="s">
        <v>604</v>
      </c>
      <c r="H3" s="494" t="s">
        <v>605</v>
      </c>
      <c r="I3" s="494" t="s">
        <v>599</v>
      </c>
      <c r="J3" s="494" t="s">
        <v>600</v>
      </c>
      <c r="K3" s="494" t="s">
        <v>601</v>
      </c>
      <c r="L3" s="494" t="s">
        <v>602</v>
      </c>
      <c r="M3" s="494" t="s">
        <v>603</v>
      </c>
      <c r="N3" s="494" t="s">
        <v>604</v>
      </c>
      <c r="O3" s="494" t="s">
        <v>605</v>
      </c>
    </row>
    <row r="4" spans="1:21" s="23" customFormat="1" ht="18" customHeight="1">
      <c r="A4" s="399" t="s">
        <v>606</v>
      </c>
      <c r="B4" s="401">
        <v>6677486.4557837499</v>
      </c>
      <c r="C4" s="405">
        <v>1792.5447275000001</v>
      </c>
      <c r="D4" s="405">
        <v>2170.68146725</v>
      </c>
      <c r="E4" s="405">
        <v>1823.7525047500001</v>
      </c>
      <c r="F4" s="614">
        <v>9.3858817378999995E-2</v>
      </c>
      <c r="G4" s="614">
        <v>3.7072608659E-2</v>
      </c>
      <c r="H4" s="614">
        <v>0.16362095999999998</v>
      </c>
      <c r="I4" s="401">
        <v>2270484</v>
      </c>
      <c r="J4" s="405">
        <v>7992</v>
      </c>
      <c r="K4" s="405">
        <v>338</v>
      </c>
      <c r="L4" s="405">
        <v>9434</v>
      </c>
      <c r="M4" s="615">
        <v>0</v>
      </c>
      <c r="N4" s="615">
        <v>0</v>
      </c>
      <c r="O4" s="615">
        <v>0</v>
      </c>
      <c r="P4" s="22"/>
      <c r="Q4" s="168"/>
      <c r="S4" s="22"/>
      <c r="T4" s="22"/>
      <c r="U4" s="168"/>
    </row>
    <row r="5" spans="1:21" s="23" customFormat="1" ht="18" customHeight="1">
      <c r="A5" s="399" t="s">
        <v>61</v>
      </c>
      <c r="B5" s="400">
        <f>SUM(B6:B21)</f>
        <v>3995667.4011032502</v>
      </c>
      <c r="C5" s="400">
        <f t="shared" ref="C5:H5" si="0">SUM(C6:C21)</f>
        <v>3902.75913025</v>
      </c>
      <c r="D5" s="400">
        <f t="shared" si="0"/>
        <v>9418.4283812499998</v>
      </c>
      <c r="E5" s="400">
        <f t="shared" si="0"/>
        <v>943.16916849999996</v>
      </c>
      <c r="F5" s="400">
        <f t="shared" si="0"/>
        <v>0</v>
      </c>
      <c r="G5" s="400">
        <f t="shared" si="0"/>
        <v>0</v>
      </c>
      <c r="H5" s="400">
        <f t="shared" si="0"/>
        <v>0</v>
      </c>
      <c r="I5" s="400">
        <f>I16</f>
        <v>2005601</v>
      </c>
      <c r="J5" s="400">
        <f>J16</f>
        <v>4331</v>
      </c>
      <c r="K5" s="400">
        <f>K16</f>
        <v>52928</v>
      </c>
      <c r="L5" s="400">
        <f>L16</f>
        <v>3013</v>
      </c>
      <c r="M5" s="400">
        <f t="shared" ref="M5:O5" si="1">M14</f>
        <v>0</v>
      </c>
      <c r="N5" s="400">
        <f t="shared" si="1"/>
        <v>0</v>
      </c>
      <c r="O5" s="400">
        <f t="shared" si="1"/>
        <v>0</v>
      </c>
      <c r="P5" s="22"/>
      <c r="Q5" s="168"/>
      <c r="S5" s="22"/>
      <c r="T5" s="22"/>
      <c r="U5" s="168"/>
    </row>
    <row r="6" spans="1:21" s="22" customFormat="1" ht="18" customHeight="1">
      <c r="A6" s="352">
        <v>43934</v>
      </c>
      <c r="B6" s="410">
        <v>270845.70071050001</v>
      </c>
      <c r="C6" s="410">
        <v>96.073722750000002</v>
      </c>
      <c r="D6" s="410">
        <v>126.9456955</v>
      </c>
      <c r="E6" s="410">
        <v>75.655298999999999</v>
      </c>
      <c r="F6" s="616">
        <v>0</v>
      </c>
      <c r="G6" s="616">
        <v>0</v>
      </c>
      <c r="H6" s="616">
        <v>0</v>
      </c>
      <c r="I6" s="410">
        <v>1271120</v>
      </c>
      <c r="J6" s="410">
        <v>1045</v>
      </c>
      <c r="K6" s="410">
        <v>646</v>
      </c>
      <c r="L6" s="410">
        <v>1104</v>
      </c>
      <c r="M6" s="410">
        <v>0</v>
      </c>
      <c r="N6" s="410">
        <v>0</v>
      </c>
      <c r="O6" s="410">
        <v>0</v>
      </c>
      <c r="Q6" s="168"/>
      <c r="U6" s="168"/>
    </row>
    <row r="7" spans="1:21" s="22" customFormat="1" ht="18" customHeight="1">
      <c r="A7" s="352">
        <v>43965</v>
      </c>
      <c r="B7" s="410">
        <v>305507.92691849999</v>
      </c>
      <c r="C7" s="410">
        <v>318.09564749999998</v>
      </c>
      <c r="D7" s="410">
        <v>229.198891</v>
      </c>
      <c r="E7" s="410">
        <v>89.679657500000005</v>
      </c>
      <c r="F7" s="616">
        <v>0</v>
      </c>
      <c r="G7" s="616">
        <v>0</v>
      </c>
      <c r="H7" s="616">
        <v>0</v>
      </c>
      <c r="I7" s="410">
        <v>652421</v>
      </c>
      <c r="J7" s="410">
        <v>20386</v>
      </c>
      <c r="K7" s="410">
        <v>2921</v>
      </c>
      <c r="L7" s="410">
        <v>2670</v>
      </c>
      <c r="M7" s="410">
        <v>0</v>
      </c>
      <c r="N7" s="410">
        <v>0</v>
      </c>
      <c r="O7" s="410">
        <v>0</v>
      </c>
      <c r="Q7" s="168"/>
      <c r="U7" s="168"/>
    </row>
    <row r="8" spans="1:21" s="22" customFormat="1" ht="18" customHeight="1">
      <c r="A8" s="352">
        <v>43996</v>
      </c>
      <c r="B8" s="410">
        <v>466201.4890375</v>
      </c>
      <c r="C8" s="410">
        <v>434.81993999999997</v>
      </c>
      <c r="D8" s="410">
        <v>512.07206650000001</v>
      </c>
      <c r="E8" s="410">
        <v>96.812114750000006</v>
      </c>
      <c r="F8" s="616">
        <v>0</v>
      </c>
      <c r="G8" s="616">
        <v>0</v>
      </c>
      <c r="H8" s="616">
        <v>0</v>
      </c>
      <c r="I8" s="410">
        <v>700596</v>
      </c>
      <c r="J8" s="410">
        <v>9437</v>
      </c>
      <c r="K8" s="410">
        <v>2256</v>
      </c>
      <c r="L8" s="410">
        <v>363</v>
      </c>
      <c r="M8" s="410">
        <v>0</v>
      </c>
      <c r="N8" s="410">
        <v>0</v>
      </c>
      <c r="O8" s="410">
        <v>0</v>
      </c>
      <c r="Q8" s="168"/>
      <c r="U8" s="168"/>
    </row>
    <row r="9" spans="1:21" s="22" customFormat="1" ht="18" customHeight="1">
      <c r="A9" s="352">
        <v>44027</v>
      </c>
      <c r="B9" s="410">
        <v>436223.81814749999</v>
      </c>
      <c r="C9" s="410">
        <v>642.50567975000001</v>
      </c>
      <c r="D9" s="410">
        <v>266.21870849999999</v>
      </c>
      <c r="E9" s="410">
        <v>33.794735500000002</v>
      </c>
      <c r="F9" s="616">
        <v>0</v>
      </c>
      <c r="G9" s="616">
        <v>0</v>
      </c>
      <c r="H9" s="616">
        <v>0</v>
      </c>
      <c r="I9" s="410">
        <v>598516</v>
      </c>
      <c r="J9" s="410">
        <v>34047</v>
      </c>
      <c r="K9" s="410">
        <v>5358</v>
      </c>
      <c r="L9" s="410">
        <v>1298</v>
      </c>
      <c r="M9" s="410">
        <v>0</v>
      </c>
      <c r="N9" s="410">
        <v>0</v>
      </c>
      <c r="O9" s="410">
        <v>0</v>
      </c>
      <c r="Q9" s="168"/>
      <c r="U9" s="168"/>
    </row>
    <row r="10" spans="1:21" s="22" customFormat="1" ht="18" customHeight="1">
      <c r="A10" s="352">
        <v>44058</v>
      </c>
      <c r="B10" s="410">
        <v>450746.06939850003</v>
      </c>
      <c r="C10" s="410">
        <v>614.18935950000002</v>
      </c>
      <c r="D10" s="410">
        <v>384.92510650000003</v>
      </c>
      <c r="E10" s="410">
        <v>45.076812750000002</v>
      </c>
      <c r="F10" s="616">
        <v>0</v>
      </c>
      <c r="G10" s="616">
        <v>0</v>
      </c>
      <c r="H10" s="616">
        <v>0</v>
      </c>
      <c r="I10" s="410">
        <v>785958</v>
      </c>
      <c r="J10" s="410">
        <v>16288</v>
      </c>
      <c r="K10" s="410">
        <v>3611</v>
      </c>
      <c r="L10" s="410">
        <v>641</v>
      </c>
      <c r="M10" s="410">
        <v>0</v>
      </c>
      <c r="N10" s="410">
        <v>0</v>
      </c>
      <c r="O10" s="410">
        <v>0</v>
      </c>
      <c r="Q10" s="168"/>
      <c r="U10" s="168"/>
    </row>
    <row r="11" spans="1:21" s="22" customFormat="1" ht="18" customHeight="1">
      <c r="A11" s="352">
        <v>44089</v>
      </c>
      <c r="B11" s="410">
        <v>428787.33108275</v>
      </c>
      <c r="C11" s="410">
        <v>157.95455525</v>
      </c>
      <c r="D11" s="410">
        <v>480.03266150000002</v>
      </c>
      <c r="E11" s="410">
        <v>52.070701499999998</v>
      </c>
      <c r="F11" s="616">
        <v>0</v>
      </c>
      <c r="G11" s="616">
        <v>0</v>
      </c>
      <c r="H11" s="616">
        <v>0</v>
      </c>
      <c r="I11" s="410">
        <v>1034804</v>
      </c>
      <c r="J11" s="410">
        <v>14144</v>
      </c>
      <c r="K11" s="410">
        <v>1744</v>
      </c>
      <c r="L11" s="410">
        <v>319</v>
      </c>
      <c r="M11" s="410">
        <v>0</v>
      </c>
      <c r="N11" s="410">
        <v>0</v>
      </c>
      <c r="O11" s="410">
        <v>0</v>
      </c>
      <c r="Q11" s="168"/>
      <c r="U11" s="168"/>
    </row>
    <row r="12" spans="1:21" s="22" customFormat="1" ht="18" customHeight="1">
      <c r="A12" s="352">
        <v>44120</v>
      </c>
      <c r="B12" s="410">
        <v>408051.60826750001</v>
      </c>
      <c r="C12" s="410">
        <v>363.26632525000002</v>
      </c>
      <c r="D12" s="410">
        <v>402.76803749999999</v>
      </c>
      <c r="E12" s="410">
        <v>73.104245250000005</v>
      </c>
      <c r="F12" s="616">
        <v>0</v>
      </c>
      <c r="G12" s="616">
        <v>0</v>
      </c>
      <c r="H12" s="616">
        <v>0</v>
      </c>
      <c r="I12" s="410">
        <v>774835</v>
      </c>
      <c r="J12" s="410">
        <v>1847</v>
      </c>
      <c r="K12" s="410">
        <v>7234</v>
      </c>
      <c r="L12" s="410">
        <v>5171</v>
      </c>
      <c r="M12" s="410">
        <v>0</v>
      </c>
      <c r="N12" s="410">
        <v>0</v>
      </c>
      <c r="O12" s="410">
        <v>0</v>
      </c>
      <c r="Q12" s="168"/>
      <c r="U12" s="168"/>
    </row>
    <row r="13" spans="1:21" s="22" customFormat="1" ht="18" customHeight="1">
      <c r="A13" s="352">
        <v>44151</v>
      </c>
      <c r="B13" s="410">
        <v>400873.81396549998</v>
      </c>
      <c r="C13" s="410">
        <v>340.40614325000001</v>
      </c>
      <c r="D13" s="410">
        <v>850.83036975000005</v>
      </c>
      <c r="E13" s="410">
        <v>181.84067099999999</v>
      </c>
      <c r="F13" s="616">
        <v>0</v>
      </c>
      <c r="G13" s="616">
        <v>0</v>
      </c>
      <c r="H13" s="616">
        <v>0</v>
      </c>
      <c r="I13" s="410">
        <v>912871</v>
      </c>
      <c r="J13" s="410">
        <v>14157</v>
      </c>
      <c r="K13" s="410">
        <v>19243</v>
      </c>
      <c r="L13" s="410">
        <v>4508</v>
      </c>
      <c r="M13" s="410">
        <v>0</v>
      </c>
      <c r="N13" s="410">
        <v>0</v>
      </c>
      <c r="O13" s="410">
        <v>0</v>
      </c>
      <c r="Q13" s="168"/>
      <c r="U13" s="168"/>
    </row>
    <row r="14" spans="1:21" s="22" customFormat="1" ht="18" customHeight="1">
      <c r="A14" s="352">
        <v>44166</v>
      </c>
      <c r="B14" s="410">
        <v>494741.78922099998</v>
      </c>
      <c r="C14" s="410">
        <v>650.84446400000002</v>
      </c>
      <c r="D14" s="410">
        <v>1466.3369415</v>
      </c>
      <c r="E14" s="410">
        <v>81.59626025</v>
      </c>
      <c r="F14" s="616">
        <v>0</v>
      </c>
      <c r="G14" s="616">
        <v>0</v>
      </c>
      <c r="H14" s="616">
        <v>0</v>
      </c>
      <c r="I14" s="410">
        <v>1752838</v>
      </c>
      <c r="J14" s="410">
        <v>21631</v>
      </c>
      <c r="K14" s="410">
        <v>17880</v>
      </c>
      <c r="L14" s="410">
        <v>2750</v>
      </c>
      <c r="M14" s="410">
        <v>0</v>
      </c>
      <c r="N14" s="410">
        <v>0</v>
      </c>
      <c r="O14" s="410">
        <v>0</v>
      </c>
      <c r="Q14" s="168"/>
      <c r="U14" s="168"/>
    </row>
    <row r="15" spans="1:21" s="22" customFormat="1" ht="18" customHeight="1">
      <c r="A15" s="352">
        <v>44197</v>
      </c>
      <c r="B15" s="410">
        <v>156710.47320099999</v>
      </c>
      <c r="C15" s="410">
        <v>143.279698</v>
      </c>
      <c r="D15" s="410">
        <v>1331.7802449999999</v>
      </c>
      <c r="E15" s="410">
        <v>125.454657</v>
      </c>
      <c r="F15" s="616">
        <v>0</v>
      </c>
      <c r="G15" s="616">
        <v>0</v>
      </c>
      <c r="H15" s="616">
        <v>0</v>
      </c>
      <c r="I15" s="410">
        <v>1299390</v>
      </c>
      <c r="J15" s="410">
        <v>1174</v>
      </c>
      <c r="K15" s="410">
        <v>26790</v>
      </c>
      <c r="L15" s="410">
        <v>3213</v>
      </c>
      <c r="M15" s="410">
        <v>0</v>
      </c>
      <c r="N15" s="410">
        <v>0</v>
      </c>
      <c r="O15" s="410">
        <v>0</v>
      </c>
      <c r="Q15" s="168"/>
      <c r="U15" s="168"/>
    </row>
    <row r="16" spans="1:21" s="22" customFormat="1" ht="18" customHeight="1">
      <c r="A16" s="352">
        <v>44228</v>
      </c>
      <c r="B16" s="410">
        <v>176977.38115299999</v>
      </c>
      <c r="C16" s="410">
        <v>141.32359500000001</v>
      </c>
      <c r="D16" s="410">
        <v>3367.3196579999999</v>
      </c>
      <c r="E16" s="410">
        <v>88.084013999999996</v>
      </c>
      <c r="F16" s="616">
        <v>0</v>
      </c>
      <c r="G16" s="616">
        <v>0</v>
      </c>
      <c r="H16" s="616">
        <v>0</v>
      </c>
      <c r="I16" s="410">
        <v>2005601</v>
      </c>
      <c r="J16" s="410">
        <v>4331</v>
      </c>
      <c r="K16" s="410">
        <v>52928</v>
      </c>
      <c r="L16" s="410">
        <v>3013</v>
      </c>
      <c r="M16" s="410">
        <v>0</v>
      </c>
      <c r="N16" s="410">
        <v>0</v>
      </c>
      <c r="O16" s="410">
        <v>0</v>
      </c>
      <c r="Q16" s="168"/>
      <c r="U16" s="168"/>
    </row>
    <row r="17" spans="1:18" s="22" customFormat="1">
      <c r="A17" s="1383" t="s">
        <v>519</v>
      </c>
      <c r="B17" s="1383"/>
      <c r="C17" s="1383"/>
      <c r="D17" s="1383"/>
      <c r="E17" s="1383"/>
      <c r="F17" s="1383"/>
      <c r="G17" s="1383"/>
      <c r="H17" s="1383"/>
      <c r="I17" s="35"/>
      <c r="J17" s="34"/>
      <c r="K17" s="34"/>
      <c r="L17" s="34"/>
      <c r="M17" s="38"/>
      <c r="N17" s="38"/>
      <c r="O17" s="38"/>
    </row>
    <row r="18" spans="1:18" s="22" customFormat="1" ht="15" customHeight="1">
      <c r="A18" s="1383" t="s">
        <v>607</v>
      </c>
      <c r="B18" s="1383"/>
      <c r="C18" s="1383"/>
      <c r="D18" s="1383"/>
      <c r="E18" s="1383"/>
      <c r="F18" s="1383"/>
      <c r="G18" s="1383"/>
      <c r="H18" s="1383"/>
      <c r="I18" s="88"/>
      <c r="J18" s="34"/>
      <c r="K18" s="34"/>
      <c r="L18" s="34"/>
      <c r="M18" s="38"/>
      <c r="N18" s="38"/>
      <c r="O18" s="38"/>
    </row>
    <row r="19" spans="1:18" s="22" customFormat="1" ht="15" customHeight="1">
      <c r="A19" s="1383" t="s">
        <v>582</v>
      </c>
      <c r="B19" s="1383"/>
      <c r="C19" s="1383"/>
      <c r="D19" s="1383"/>
      <c r="E19" s="1383"/>
      <c r="F19" s="1383"/>
      <c r="G19" s="1383"/>
      <c r="H19" s="1383"/>
      <c r="I19" s="88"/>
      <c r="J19" s="34"/>
      <c r="K19" s="34"/>
      <c r="L19" s="34"/>
      <c r="M19" s="38"/>
      <c r="N19" s="38"/>
      <c r="O19" s="38"/>
    </row>
    <row r="20" spans="1:18" s="22" customFormat="1" ht="13.5" customHeight="1">
      <c r="A20" s="1383" t="s">
        <v>1173</v>
      </c>
      <c r="B20" s="1383"/>
      <c r="C20" s="1383"/>
      <c r="D20" s="1383"/>
      <c r="E20" s="1383"/>
      <c r="F20" s="1383"/>
      <c r="G20" s="1383"/>
      <c r="H20" s="1383"/>
      <c r="I20" s="88"/>
    </row>
    <row r="21" spans="1:18" s="22" customFormat="1" ht="13.5" customHeight="1">
      <c r="A21" s="1383" t="s">
        <v>583</v>
      </c>
      <c r="B21" s="1383"/>
      <c r="C21" s="1383"/>
      <c r="D21" s="1383"/>
      <c r="E21" s="1383"/>
      <c r="F21" s="1383"/>
      <c r="G21" s="1383"/>
      <c r="H21" s="1383"/>
      <c r="I21" s="88"/>
    </row>
    <row r="22" spans="1:18">
      <c r="B22" s="496"/>
      <c r="C22" s="496"/>
      <c r="D22" s="496"/>
      <c r="E22" s="496"/>
      <c r="F22" s="496"/>
      <c r="G22" s="496"/>
      <c r="H22" s="496"/>
      <c r="I22" s="496"/>
      <c r="J22" s="496"/>
      <c r="K22" s="496"/>
      <c r="L22" s="496"/>
      <c r="M22" s="496"/>
      <c r="N22" s="496"/>
      <c r="O22" s="496"/>
      <c r="P22" s="496"/>
      <c r="Q22" s="496"/>
      <c r="R22" s="496"/>
    </row>
    <row r="23" spans="1:18">
      <c r="B23" s="496"/>
      <c r="C23" s="496"/>
      <c r="D23" s="496"/>
      <c r="E23" s="496"/>
      <c r="F23" s="496"/>
      <c r="G23" s="496"/>
      <c r="H23" s="496"/>
      <c r="I23" s="496"/>
      <c r="J23" s="496"/>
      <c r="K23" s="496"/>
      <c r="L23" s="496"/>
      <c r="M23" s="496"/>
      <c r="N23" s="496"/>
      <c r="O23" s="496"/>
      <c r="P23" s="496"/>
      <c r="Q23" s="496"/>
      <c r="R23" s="496"/>
    </row>
    <row r="35" spans="2:15">
      <c r="B35" s="353"/>
      <c r="C35" s="353"/>
      <c r="D35" s="353"/>
      <c r="E35" s="353"/>
      <c r="F35" s="353"/>
      <c r="G35" s="353"/>
      <c r="H35" s="353"/>
      <c r="I35" s="353"/>
      <c r="J35" s="353"/>
      <c r="K35" s="353"/>
      <c r="L35" s="353"/>
      <c r="M35" s="353"/>
      <c r="N35" s="353"/>
      <c r="O35" s="353"/>
    </row>
    <row r="36" spans="2:15">
      <c r="B36" s="353"/>
      <c r="C36" s="353"/>
      <c r="D36" s="353"/>
      <c r="E36" s="353"/>
      <c r="F36" s="353"/>
      <c r="G36" s="353"/>
      <c r="H36" s="353"/>
      <c r="I36" s="353"/>
      <c r="J36" s="353"/>
      <c r="K36" s="353"/>
      <c r="L36" s="353"/>
      <c r="M36" s="353"/>
      <c r="N36" s="353"/>
      <c r="O36" s="353"/>
    </row>
    <row r="37" spans="2:15">
      <c r="B37" s="353"/>
      <c r="C37" s="353"/>
      <c r="D37" s="353"/>
      <c r="E37" s="353"/>
      <c r="F37" s="353"/>
      <c r="G37" s="353"/>
      <c r="H37" s="353"/>
      <c r="I37" s="353"/>
      <c r="J37" s="353"/>
      <c r="K37" s="353"/>
      <c r="L37" s="353"/>
      <c r="M37" s="353"/>
      <c r="N37" s="353"/>
      <c r="O37" s="353"/>
    </row>
    <row r="38" spans="2:15">
      <c r="B38" s="353"/>
      <c r="C38" s="353"/>
      <c r="D38" s="353"/>
      <c r="E38" s="353"/>
      <c r="F38" s="353"/>
      <c r="G38" s="353"/>
      <c r="H38" s="353"/>
      <c r="I38" s="353"/>
      <c r="J38" s="353"/>
      <c r="K38" s="353"/>
      <c r="L38" s="353"/>
      <c r="M38" s="353"/>
      <c r="N38" s="353"/>
      <c r="O38" s="353"/>
    </row>
    <row r="39" spans="2:15">
      <c r="B39" s="353"/>
      <c r="C39" s="353"/>
      <c r="D39" s="353"/>
      <c r="E39" s="353"/>
      <c r="F39" s="353"/>
      <c r="G39" s="353"/>
      <c r="H39" s="353"/>
      <c r="I39" s="353"/>
      <c r="J39" s="353"/>
      <c r="K39" s="353"/>
      <c r="L39" s="353"/>
      <c r="M39" s="353"/>
      <c r="N39" s="353"/>
      <c r="O39" s="353"/>
    </row>
    <row r="40" spans="2:15">
      <c r="B40" s="353"/>
      <c r="C40" s="353"/>
      <c r="D40" s="353"/>
      <c r="E40" s="353"/>
      <c r="F40" s="353"/>
      <c r="G40" s="353"/>
      <c r="H40" s="353"/>
      <c r="I40" s="353"/>
      <c r="J40" s="353"/>
      <c r="K40" s="353"/>
      <c r="L40" s="353"/>
      <c r="M40" s="353"/>
      <c r="N40" s="353"/>
      <c r="O40" s="353"/>
    </row>
    <row r="41" spans="2:15">
      <c r="B41" s="353"/>
      <c r="C41" s="353"/>
      <c r="D41" s="353"/>
      <c r="E41" s="353"/>
      <c r="F41" s="353"/>
      <c r="G41" s="353"/>
      <c r="H41" s="353"/>
      <c r="I41" s="353"/>
      <c r="J41" s="353"/>
      <c r="K41" s="353"/>
      <c r="L41" s="353"/>
      <c r="M41" s="353"/>
      <c r="N41" s="353"/>
      <c r="O41" s="353"/>
    </row>
    <row r="42" spans="2:15">
      <c r="B42" s="353"/>
      <c r="C42" s="353"/>
      <c r="D42" s="353"/>
      <c r="E42" s="353"/>
      <c r="F42" s="353"/>
      <c r="G42" s="353"/>
      <c r="H42" s="353"/>
      <c r="I42" s="353"/>
      <c r="J42" s="353"/>
      <c r="K42" s="353"/>
      <c r="L42" s="353"/>
      <c r="M42" s="353"/>
      <c r="N42" s="353"/>
      <c r="O42" s="353"/>
    </row>
    <row r="43" spans="2:15">
      <c r="B43" s="353"/>
      <c r="C43" s="353"/>
      <c r="D43" s="353"/>
      <c r="E43" s="353"/>
      <c r="F43" s="353"/>
      <c r="G43" s="353"/>
      <c r="H43" s="353"/>
      <c r="I43" s="353"/>
      <c r="J43" s="353"/>
      <c r="K43" s="353"/>
      <c r="L43" s="353"/>
      <c r="M43" s="353"/>
      <c r="N43" s="353"/>
      <c r="O43" s="353"/>
    </row>
    <row r="44" spans="2:15">
      <c r="B44" s="353"/>
      <c r="C44" s="353"/>
      <c r="D44" s="353"/>
      <c r="E44" s="353"/>
      <c r="F44" s="353"/>
      <c r="G44" s="353"/>
      <c r="H44" s="353"/>
      <c r="I44" s="353"/>
      <c r="J44" s="353"/>
      <c r="K44" s="353"/>
      <c r="L44" s="353"/>
      <c r="M44" s="353"/>
      <c r="N44" s="353"/>
      <c r="O44" s="353"/>
    </row>
    <row r="45" spans="2:15">
      <c r="B45" s="353"/>
      <c r="C45" s="353"/>
      <c r="D45" s="353"/>
      <c r="E45" s="353"/>
      <c r="F45" s="353"/>
      <c r="G45" s="353"/>
      <c r="H45" s="353"/>
      <c r="I45" s="353"/>
      <c r="J45" s="353"/>
      <c r="K45" s="353"/>
      <c r="L45" s="353"/>
      <c r="M45" s="353"/>
      <c r="N45" s="353"/>
      <c r="O45" s="353"/>
    </row>
    <row r="46" spans="2:15">
      <c r="B46" s="353"/>
      <c r="C46" s="353"/>
      <c r="D46" s="353"/>
      <c r="E46" s="353"/>
      <c r="F46" s="353"/>
      <c r="G46" s="353"/>
      <c r="H46" s="353"/>
      <c r="I46" s="353"/>
      <c r="J46" s="353"/>
      <c r="K46" s="353"/>
      <c r="L46" s="353"/>
      <c r="M46" s="353"/>
      <c r="N46" s="353"/>
      <c r="O46" s="353"/>
    </row>
    <row r="47" spans="2:15">
      <c r="B47" s="353"/>
      <c r="C47" s="353"/>
      <c r="D47" s="353"/>
      <c r="E47" s="353"/>
      <c r="F47" s="353"/>
      <c r="G47" s="353"/>
      <c r="H47" s="353"/>
      <c r="I47" s="353"/>
      <c r="J47" s="353"/>
      <c r="K47" s="353"/>
      <c r="L47" s="353"/>
      <c r="M47" s="353"/>
      <c r="N47" s="353"/>
      <c r="O47" s="353"/>
    </row>
    <row r="48" spans="2:15">
      <c r="B48" s="353"/>
      <c r="C48" s="353"/>
      <c r="D48" s="353"/>
      <c r="E48" s="353"/>
      <c r="F48" s="353"/>
      <c r="G48" s="353"/>
      <c r="H48" s="353"/>
      <c r="I48" s="353"/>
      <c r="J48" s="353"/>
      <c r="K48" s="353"/>
      <c r="L48" s="353"/>
      <c r="M48" s="353"/>
      <c r="N48" s="353"/>
      <c r="O48" s="353"/>
    </row>
  </sheetData>
  <mergeCells count="9">
    <mergeCell ref="A19:H19"/>
    <mergeCell ref="A20:H20"/>
    <mergeCell ref="A21:H21"/>
    <mergeCell ref="A1:I1"/>
    <mergeCell ref="A2:A3"/>
    <mergeCell ref="B2:H2"/>
    <mergeCell ref="I2:O2"/>
    <mergeCell ref="A17:H17"/>
    <mergeCell ref="A18:H1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44"/>
  <sheetViews>
    <sheetView zoomScale="85" zoomScaleNormal="85" workbookViewId="0">
      <selection activeCell="B6" sqref="B6"/>
    </sheetView>
  </sheetViews>
  <sheetFormatPr defaultColWidth="8.85546875" defaultRowHeight="15"/>
  <cols>
    <col min="1" max="1" width="14.7109375" style="21" bestFit="1" customWidth="1"/>
    <col min="2" max="15" width="12" style="21" customWidth="1"/>
    <col min="16" max="16" width="8.85546875" style="21"/>
    <col min="17" max="17" width="9.140625" style="21" bestFit="1" customWidth="1"/>
    <col min="18" max="16384" width="8.85546875" style="21"/>
  </cols>
  <sheetData>
    <row r="1" spans="1:18" ht="18.75" customHeight="1">
      <c r="A1" s="1223" t="s">
        <v>608</v>
      </c>
      <c r="B1" s="1223"/>
      <c r="C1" s="1223"/>
      <c r="D1" s="1223"/>
      <c r="E1" s="1223"/>
      <c r="F1" s="1223"/>
      <c r="G1" s="1223"/>
    </row>
    <row r="2" spans="1:18" s="22" customFormat="1" ht="18" customHeight="1">
      <c r="A2" s="1336" t="s">
        <v>83</v>
      </c>
      <c r="B2" s="1384" t="s">
        <v>588</v>
      </c>
      <c r="C2" s="1385"/>
      <c r="D2" s="1385"/>
      <c r="E2" s="1385"/>
      <c r="F2" s="1385"/>
      <c r="G2" s="1385"/>
      <c r="H2" s="1386"/>
      <c r="I2" s="1384" t="s">
        <v>609</v>
      </c>
      <c r="J2" s="1385"/>
      <c r="K2" s="1385"/>
      <c r="L2" s="1385"/>
      <c r="M2" s="1385"/>
      <c r="N2" s="1385"/>
      <c r="O2" s="1386"/>
    </row>
    <row r="3" spans="1:18" s="22" customFormat="1" ht="18" customHeight="1">
      <c r="A3" s="1337"/>
      <c r="B3" s="494" t="s">
        <v>599</v>
      </c>
      <c r="C3" s="494" t="s">
        <v>600</v>
      </c>
      <c r="D3" s="494" t="s">
        <v>601</v>
      </c>
      <c r="E3" s="494" t="s">
        <v>602</v>
      </c>
      <c r="F3" s="494" t="s">
        <v>603</v>
      </c>
      <c r="G3" s="494" t="s">
        <v>604</v>
      </c>
      <c r="H3" s="494" t="s">
        <v>605</v>
      </c>
      <c r="I3" s="494" t="s">
        <v>599</v>
      </c>
      <c r="J3" s="494" t="s">
        <v>600</v>
      </c>
      <c r="K3" s="494" t="s">
        <v>601</v>
      </c>
      <c r="L3" s="494" t="s">
        <v>602</v>
      </c>
      <c r="M3" s="494" t="s">
        <v>603</v>
      </c>
      <c r="N3" s="494" t="s">
        <v>604</v>
      </c>
      <c r="O3" s="494" t="s">
        <v>605</v>
      </c>
    </row>
    <row r="4" spans="1:18" s="23" customFormat="1" ht="18" customHeight="1">
      <c r="A4" s="399" t="s">
        <v>58</v>
      </c>
      <c r="B4" s="400">
        <v>9009927.9925139993</v>
      </c>
      <c r="C4" s="400">
        <v>170324.37954974998</v>
      </c>
      <c r="D4" s="400">
        <v>374339.80154675001</v>
      </c>
      <c r="E4" s="400">
        <v>75589.004037749997</v>
      </c>
      <c r="F4" s="400">
        <v>11480.417642609065</v>
      </c>
      <c r="G4" s="400">
        <v>12513.169358854519</v>
      </c>
      <c r="H4" s="400">
        <v>219.00372574731111</v>
      </c>
      <c r="I4" s="400">
        <v>6680611</v>
      </c>
      <c r="J4" s="400">
        <v>81513</v>
      </c>
      <c r="K4" s="400">
        <v>32141</v>
      </c>
      <c r="L4" s="400">
        <v>30965</v>
      </c>
      <c r="M4" s="400">
        <v>650</v>
      </c>
      <c r="N4" s="400">
        <v>643</v>
      </c>
      <c r="O4" s="400">
        <v>24</v>
      </c>
      <c r="Q4" s="443"/>
      <c r="R4" s="443"/>
    </row>
    <row r="5" spans="1:18" s="23" customFormat="1" ht="18" customHeight="1">
      <c r="A5" s="617" t="s">
        <v>61</v>
      </c>
      <c r="B5" s="400">
        <f>SUM(B6:B24)</f>
        <v>9436150.9102999996</v>
      </c>
      <c r="C5" s="400">
        <f t="shared" ref="C5:H5" si="0">SUM(C6:C24)</f>
        <v>390285.78722000006</v>
      </c>
      <c r="D5" s="400">
        <f t="shared" si="0"/>
        <v>727311.92996999994</v>
      </c>
      <c r="E5" s="400">
        <f t="shared" si="0"/>
        <v>94223.861237000005</v>
      </c>
      <c r="F5" s="400">
        <f t="shared" si="0"/>
        <v>5387.6533618999993</v>
      </c>
      <c r="G5" s="400">
        <f t="shared" si="0"/>
        <v>7965.3727446999992</v>
      </c>
      <c r="H5" s="400">
        <f t="shared" si="0"/>
        <v>81.404063905000001</v>
      </c>
      <c r="I5" s="400">
        <f t="shared" ref="I5:O5" si="1">I16</f>
        <v>8874350</v>
      </c>
      <c r="J5" s="400">
        <f t="shared" si="1"/>
        <v>207660</v>
      </c>
      <c r="K5" s="400">
        <f t="shared" si="1"/>
        <v>394776</v>
      </c>
      <c r="L5" s="400">
        <f t="shared" si="1"/>
        <v>32440</v>
      </c>
      <c r="M5" s="400">
        <f t="shared" si="1"/>
        <v>2629</v>
      </c>
      <c r="N5" s="400">
        <f t="shared" si="1"/>
        <v>3029</v>
      </c>
      <c r="O5" s="400">
        <f t="shared" si="1"/>
        <v>49</v>
      </c>
      <c r="Q5" s="443"/>
      <c r="R5" s="443"/>
    </row>
    <row r="6" spans="1:18" s="22" customFormat="1" ht="18" customHeight="1">
      <c r="A6" s="618" t="s">
        <v>60</v>
      </c>
      <c r="B6" s="619">
        <v>655054.75670000003</v>
      </c>
      <c r="C6" s="410">
        <v>11949.74469</v>
      </c>
      <c r="D6" s="410">
        <v>23656.508689999999</v>
      </c>
      <c r="E6" s="410">
        <v>5267.9496369999997</v>
      </c>
      <c r="F6" s="410">
        <v>129.5959632</v>
      </c>
      <c r="G6" s="410">
        <v>221.4217347</v>
      </c>
      <c r="H6" s="410">
        <v>2.4798537180000002</v>
      </c>
      <c r="I6" s="410">
        <v>4875455</v>
      </c>
      <c r="J6" s="410">
        <v>67920</v>
      </c>
      <c r="K6" s="410">
        <v>42712</v>
      </c>
      <c r="L6" s="410">
        <v>36164</v>
      </c>
      <c r="M6" s="410">
        <v>1128</v>
      </c>
      <c r="N6" s="410">
        <v>1805</v>
      </c>
      <c r="O6" s="410">
        <v>47</v>
      </c>
      <c r="Q6" s="443"/>
      <c r="R6" s="443"/>
    </row>
    <row r="7" spans="1:18" s="22" customFormat="1" ht="18" customHeight="1">
      <c r="A7" s="618" t="s">
        <v>59</v>
      </c>
      <c r="B7" s="619">
        <v>663982.92599999998</v>
      </c>
      <c r="C7" s="410">
        <v>20144.290290000001</v>
      </c>
      <c r="D7" s="410">
        <v>37101.386590000002</v>
      </c>
      <c r="E7" s="410">
        <v>7695.0969370000003</v>
      </c>
      <c r="F7" s="410">
        <v>230.85869769999999</v>
      </c>
      <c r="G7" s="410">
        <v>367.38587510000002</v>
      </c>
      <c r="H7" s="410">
        <v>5.291468558</v>
      </c>
      <c r="I7" s="410">
        <v>4204478</v>
      </c>
      <c r="J7" s="410">
        <v>165613</v>
      </c>
      <c r="K7" s="410">
        <v>42731</v>
      </c>
      <c r="L7" s="410">
        <v>32939</v>
      </c>
      <c r="M7" s="410">
        <v>3028</v>
      </c>
      <c r="N7" s="410">
        <v>2283</v>
      </c>
      <c r="O7" s="410">
        <v>18</v>
      </c>
      <c r="Q7" s="443"/>
      <c r="R7" s="443"/>
    </row>
    <row r="8" spans="1:18" s="22" customFormat="1" ht="18" customHeight="1">
      <c r="A8" s="618" t="s">
        <v>310</v>
      </c>
      <c r="B8" s="619">
        <v>853857.83900000004</v>
      </c>
      <c r="C8" s="410">
        <v>28614.879359999999</v>
      </c>
      <c r="D8" s="410">
        <v>55969.384319999997</v>
      </c>
      <c r="E8" s="410">
        <v>9383.4079270000002</v>
      </c>
      <c r="F8" s="410">
        <v>546.59406430000001</v>
      </c>
      <c r="G8" s="410">
        <v>790.48008149999998</v>
      </c>
      <c r="H8" s="410">
        <v>7.4848078119999997</v>
      </c>
      <c r="I8" s="410">
        <v>4288347</v>
      </c>
      <c r="J8" s="410">
        <v>154408</v>
      </c>
      <c r="K8" s="410">
        <v>72300</v>
      </c>
      <c r="L8" s="410">
        <v>31324</v>
      </c>
      <c r="M8" s="410">
        <v>2564</v>
      </c>
      <c r="N8" s="410">
        <v>2375</v>
      </c>
      <c r="O8" s="410">
        <v>25</v>
      </c>
      <c r="Q8" s="443"/>
      <c r="R8" s="443"/>
    </row>
    <row r="9" spans="1:18" s="22" customFormat="1" ht="18" customHeight="1">
      <c r="A9" s="618" t="s">
        <v>356</v>
      </c>
      <c r="B9" s="619">
        <v>844302.73690000002</v>
      </c>
      <c r="C9" s="410">
        <v>41198.973579999998</v>
      </c>
      <c r="D9" s="410">
        <v>47785.242599999998</v>
      </c>
      <c r="E9" s="410">
        <v>8475.8479449999995</v>
      </c>
      <c r="F9" s="410">
        <v>849.56517020000001</v>
      </c>
      <c r="G9" s="410">
        <v>779.05277439999998</v>
      </c>
      <c r="H9" s="410">
        <v>4.2529588690000004</v>
      </c>
      <c r="I9" s="410">
        <v>4778747</v>
      </c>
      <c r="J9" s="410">
        <v>273940</v>
      </c>
      <c r="K9" s="410">
        <v>124436</v>
      </c>
      <c r="L9" s="410">
        <v>32991</v>
      </c>
      <c r="M9" s="410">
        <v>6381</v>
      </c>
      <c r="N9" s="410">
        <v>1897</v>
      </c>
      <c r="O9" s="410">
        <v>77</v>
      </c>
      <c r="Q9" s="443"/>
      <c r="R9" s="443"/>
    </row>
    <row r="10" spans="1:18" s="22" customFormat="1" ht="18" customHeight="1">
      <c r="A10" s="618" t="s">
        <v>384</v>
      </c>
      <c r="B10" s="619">
        <v>857995.12269999995</v>
      </c>
      <c r="C10" s="410">
        <v>50143.458039999998</v>
      </c>
      <c r="D10" s="410">
        <v>56740.37298</v>
      </c>
      <c r="E10" s="410">
        <v>10440.619259999999</v>
      </c>
      <c r="F10" s="410">
        <v>745.82706559999997</v>
      </c>
      <c r="G10" s="410">
        <v>789.41297750000001</v>
      </c>
      <c r="H10" s="410">
        <v>9.5164741240000001</v>
      </c>
      <c r="I10" s="410">
        <v>4831227</v>
      </c>
      <c r="J10" s="410">
        <v>210451</v>
      </c>
      <c r="K10" s="410">
        <v>99422</v>
      </c>
      <c r="L10" s="410">
        <v>32832</v>
      </c>
      <c r="M10" s="410">
        <v>7162</v>
      </c>
      <c r="N10" s="410">
        <v>3024</v>
      </c>
      <c r="O10" s="410">
        <v>12</v>
      </c>
      <c r="Q10" s="443"/>
      <c r="R10" s="443"/>
    </row>
    <row r="11" spans="1:18" s="22" customFormat="1" ht="18" customHeight="1">
      <c r="A11" s="618" t="s">
        <v>386</v>
      </c>
      <c r="B11" s="619">
        <v>981988.99509999994</v>
      </c>
      <c r="C11" s="410">
        <v>45279.987699999998</v>
      </c>
      <c r="D11" s="410">
        <v>79550.149439999994</v>
      </c>
      <c r="E11" s="410">
        <v>11919.148370000001</v>
      </c>
      <c r="F11" s="410">
        <v>562.6200652</v>
      </c>
      <c r="G11" s="410">
        <v>761.34424320000005</v>
      </c>
      <c r="H11" s="410">
        <v>11.34469526</v>
      </c>
      <c r="I11" s="410">
        <v>5125997</v>
      </c>
      <c r="J11" s="410">
        <v>155352</v>
      </c>
      <c r="K11" s="410">
        <v>59034</v>
      </c>
      <c r="L11" s="410">
        <v>28800</v>
      </c>
      <c r="M11" s="410">
        <v>3348</v>
      </c>
      <c r="N11" s="410">
        <v>1655</v>
      </c>
      <c r="O11" s="410">
        <v>23</v>
      </c>
      <c r="Q11" s="443"/>
      <c r="R11" s="443"/>
    </row>
    <row r="12" spans="1:18" s="22" customFormat="1" ht="18" customHeight="1">
      <c r="A12" s="618" t="s">
        <v>392</v>
      </c>
      <c r="B12" s="619">
        <v>857549.21869999997</v>
      </c>
      <c r="C12" s="410">
        <v>38069.022830000002</v>
      </c>
      <c r="D12" s="410">
        <v>72533.403810000003</v>
      </c>
      <c r="E12" s="410">
        <v>8522.3834270000007</v>
      </c>
      <c r="F12" s="410">
        <v>336.57580780000001</v>
      </c>
      <c r="G12" s="410">
        <v>654.92388210000001</v>
      </c>
      <c r="H12" s="410">
        <v>2.753618339</v>
      </c>
      <c r="I12" s="410">
        <v>5607942</v>
      </c>
      <c r="J12" s="410">
        <v>192303</v>
      </c>
      <c r="K12" s="410">
        <v>111715</v>
      </c>
      <c r="L12" s="410">
        <v>62198</v>
      </c>
      <c r="M12" s="410">
        <v>2767</v>
      </c>
      <c r="N12" s="410">
        <v>1770</v>
      </c>
      <c r="O12" s="410">
        <v>114</v>
      </c>
      <c r="Q12" s="443"/>
      <c r="R12" s="443"/>
    </row>
    <row r="13" spans="1:18" s="22" customFormat="1" ht="18" customHeight="1">
      <c r="A13" s="618" t="s">
        <v>396</v>
      </c>
      <c r="B13" s="619">
        <v>905610.53300000005</v>
      </c>
      <c r="C13" s="410">
        <v>40958.6613</v>
      </c>
      <c r="D13" s="410">
        <v>66330.959969999996</v>
      </c>
      <c r="E13" s="410">
        <v>10139.42123</v>
      </c>
      <c r="F13" s="410">
        <v>357.50546100000003</v>
      </c>
      <c r="G13" s="410">
        <v>704.45547009999996</v>
      </c>
      <c r="H13" s="410">
        <v>10.475230399999999</v>
      </c>
      <c r="I13" s="410">
        <v>6642033</v>
      </c>
      <c r="J13" s="410">
        <v>239353</v>
      </c>
      <c r="K13" s="410">
        <v>194845</v>
      </c>
      <c r="L13" s="410">
        <v>40530</v>
      </c>
      <c r="M13" s="410">
        <v>4105</v>
      </c>
      <c r="N13" s="410">
        <v>1873</v>
      </c>
      <c r="O13" s="410">
        <v>42</v>
      </c>
      <c r="Q13" s="443"/>
      <c r="R13" s="443"/>
    </row>
    <row r="14" spans="1:18" s="22" customFormat="1" ht="18" customHeight="1">
      <c r="A14" s="618">
        <v>44166</v>
      </c>
      <c r="B14" s="619">
        <v>990541.67429999996</v>
      </c>
      <c r="C14" s="410">
        <v>46461.528169999998</v>
      </c>
      <c r="D14" s="410">
        <v>113407.6122</v>
      </c>
      <c r="E14" s="410">
        <v>8236.4544270000006</v>
      </c>
      <c r="F14" s="410">
        <v>811.78995989999999</v>
      </c>
      <c r="G14" s="410">
        <v>1154.1745169999999</v>
      </c>
      <c r="H14" s="410">
        <v>5.6039731919999998</v>
      </c>
      <c r="I14" s="410">
        <v>7072864</v>
      </c>
      <c r="J14" s="410">
        <v>301687</v>
      </c>
      <c r="K14" s="410">
        <v>236483</v>
      </c>
      <c r="L14" s="410">
        <v>30790</v>
      </c>
      <c r="M14" s="410">
        <v>6286</v>
      </c>
      <c r="N14" s="410">
        <v>5483</v>
      </c>
      <c r="O14" s="410">
        <v>124</v>
      </c>
      <c r="Q14" s="443"/>
      <c r="R14" s="443"/>
    </row>
    <row r="15" spans="1:18" s="22" customFormat="1" ht="18" customHeight="1">
      <c r="A15" s="618">
        <v>44197</v>
      </c>
      <c r="B15" s="619">
        <v>867411.00730000006</v>
      </c>
      <c r="C15" s="410">
        <v>37625.37962</v>
      </c>
      <c r="D15" s="410">
        <v>87765.714189999999</v>
      </c>
      <c r="E15" s="410">
        <v>7105.9108079999996</v>
      </c>
      <c r="F15" s="410">
        <v>476.94607209999998</v>
      </c>
      <c r="G15" s="410">
        <v>805.92140129999996</v>
      </c>
      <c r="H15" s="410">
        <v>14.63807587</v>
      </c>
      <c r="I15" s="410">
        <v>8458223</v>
      </c>
      <c r="J15" s="410">
        <v>204236</v>
      </c>
      <c r="K15" s="410">
        <v>252712</v>
      </c>
      <c r="L15" s="410">
        <v>41494</v>
      </c>
      <c r="M15" s="410">
        <v>2321</v>
      </c>
      <c r="N15" s="410">
        <v>2265</v>
      </c>
      <c r="O15" s="410">
        <v>69</v>
      </c>
      <c r="Q15" s="443"/>
      <c r="R15" s="443"/>
    </row>
    <row r="16" spans="1:18" s="22" customFormat="1" ht="18" customHeight="1">
      <c r="A16" s="618">
        <v>44228</v>
      </c>
      <c r="B16" s="619">
        <v>957856.10060000001</v>
      </c>
      <c r="C16" s="410">
        <v>29839.861639999999</v>
      </c>
      <c r="D16" s="410">
        <v>86471.195179999995</v>
      </c>
      <c r="E16" s="410">
        <v>7037.6212690000002</v>
      </c>
      <c r="F16" s="410">
        <v>339.77503489999998</v>
      </c>
      <c r="G16" s="410">
        <v>936.79978779999999</v>
      </c>
      <c r="H16" s="410">
        <v>7.5629077630000001</v>
      </c>
      <c r="I16" s="410">
        <v>8874350</v>
      </c>
      <c r="J16" s="410">
        <v>207660</v>
      </c>
      <c r="K16" s="410">
        <v>394776</v>
      </c>
      <c r="L16" s="410">
        <v>32440</v>
      </c>
      <c r="M16" s="410">
        <v>2629</v>
      </c>
      <c r="N16" s="410">
        <v>3029</v>
      </c>
      <c r="O16" s="410">
        <v>49</v>
      </c>
      <c r="Q16" s="443"/>
      <c r="R16" s="443"/>
    </row>
    <row r="17" spans="1:16" s="22" customFormat="1" ht="18" customHeight="1">
      <c r="A17" s="495" t="s">
        <v>36</v>
      </c>
      <c r="B17" s="21"/>
      <c r="C17" s="21"/>
      <c r="D17" s="21"/>
      <c r="E17" s="21"/>
      <c r="F17" s="21"/>
      <c r="G17" s="21"/>
      <c r="H17" s="21"/>
      <c r="I17" s="21"/>
      <c r="J17" s="35"/>
      <c r="K17" s="34"/>
      <c r="L17" s="34"/>
      <c r="M17" s="38"/>
      <c r="N17" s="38"/>
      <c r="O17" s="38"/>
    </row>
    <row r="18" spans="1:16" s="620" customFormat="1" ht="14.25" customHeight="1">
      <c r="A18" s="495" t="s">
        <v>607</v>
      </c>
      <c r="B18" s="21"/>
      <c r="C18" s="21"/>
      <c r="D18" s="21"/>
      <c r="E18" s="21"/>
      <c r="F18" s="21"/>
      <c r="G18" s="21"/>
      <c r="H18" s="21"/>
      <c r="I18" s="21"/>
    </row>
    <row r="19" spans="1:16" s="620" customFormat="1" ht="14.25" customHeight="1">
      <c r="A19" s="495" t="s">
        <v>591</v>
      </c>
      <c r="B19" s="21"/>
      <c r="C19" s="21"/>
      <c r="D19" s="21"/>
      <c r="E19" s="21"/>
      <c r="F19" s="21"/>
      <c r="G19" s="21"/>
      <c r="H19" s="21"/>
      <c r="I19" s="21"/>
    </row>
    <row r="20" spans="1:16" s="620" customFormat="1" ht="13.5" customHeight="1">
      <c r="A20" s="495" t="s">
        <v>1173</v>
      </c>
      <c r="B20" s="495"/>
      <c r="C20" s="495"/>
      <c r="D20" s="495"/>
      <c r="E20" s="495"/>
      <c r="F20" s="495"/>
      <c r="G20" s="495"/>
      <c r="H20" s="495"/>
      <c r="I20" s="21"/>
      <c r="J20" s="21"/>
      <c r="K20" s="21"/>
      <c r="L20" s="21"/>
      <c r="M20" s="21"/>
      <c r="N20" s="21"/>
      <c r="O20" s="21"/>
      <c r="P20" s="21"/>
    </row>
    <row r="21" spans="1:16" s="22" customFormat="1" ht="15" customHeight="1">
      <c r="A21" s="495" t="s">
        <v>157</v>
      </c>
      <c r="B21" s="495"/>
      <c r="C21" s="495"/>
      <c r="D21" s="495"/>
      <c r="E21" s="495"/>
      <c r="F21" s="495"/>
      <c r="G21" s="495"/>
      <c r="H21" s="495"/>
      <c r="I21" s="21"/>
      <c r="J21" s="21"/>
      <c r="K21" s="21"/>
      <c r="L21" s="21"/>
      <c r="M21" s="21"/>
      <c r="N21" s="21"/>
      <c r="O21" s="21"/>
      <c r="P21" s="21"/>
    </row>
    <row r="22" spans="1:16" s="22" customFormat="1" ht="13.5" customHeight="1">
      <c r="B22" s="495"/>
      <c r="C22" s="495"/>
      <c r="D22" s="495"/>
      <c r="E22" s="495"/>
      <c r="F22" s="495"/>
      <c r="G22" s="495"/>
      <c r="H22" s="495"/>
      <c r="I22" s="21"/>
      <c r="J22" s="21"/>
      <c r="K22" s="21"/>
      <c r="L22" s="21"/>
      <c r="M22" s="21"/>
      <c r="N22" s="21"/>
      <c r="O22" s="21"/>
      <c r="P22" s="21"/>
    </row>
    <row r="23" spans="1:16" s="22" customFormat="1" ht="13.5" customHeight="1">
      <c r="B23" s="495"/>
      <c r="C23" s="495"/>
      <c r="D23" s="495"/>
      <c r="E23" s="495"/>
      <c r="F23" s="495"/>
      <c r="G23" s="495"/>
      <c r="H23" s="495"/>
      <c r="I23" s="21"/>
      <c r="J23" s="21"/>
      <c r="K23" s="21"/>
      <c r="L23" s="21"/>
      <c r="M23" s="21"/>
      <c r="N23" s="21"/>
      <c r="O23" s="21"/>
      <c r="P23" s="21"/>
    </row>
    <row r="24" spans="1:16" s="22" customFormat="1" ht="13.5" customHeight="1">
      <c r="B24" s="495"/>
      <c r="C24" s="495"/>
      <c r="D24" s="495"/>
      <c r="E24" s="495"/>
      <c r="F24" s="495"/>
      <c r="G24" s="495"/>
      <c r="H24" s="495"/>
      <c r="I24" s="21"/>
      <c r="J24" s="21"/>
      <c r="K24" s="21"/>
      <c r="L24" s="21"/>
      <c r="M24" s="21"/>
      <c r="N24" s="21"/>
      <c r="O24" s="21"/>
      <c r="P24" s="21"/>
    </row>
    <row r="29" spans="1:16">
      <c r="B29" s="33"/>
      <c r="C29" s="33"/>
      <c r="D29" s="33"/>
      <c r="E29" s="33"/>
      <c r="F29" s="33"/>
      <c r="G29" s="33"/>
      <c r="H29" s="33"/>
      <c r="I29" s="33"/>
      <c r="J29" s="33"/>
      <c r="K29" s="33"/>
      <c r="L29" s="33"/>
      <c r="M29" s="33"/>
      <c r="N29" s="33"/>
      <c r="O29" s="33"/>
    </row>
    <row r="30" spans="1:16">
      <c r="B30" s="33"/>
      <c r="C30" s="33"/>
      <c r="D30" s="33"/>
      <c r="E30" s="33"/>
      <c r="F30" s="33"/>
      <c r="G30" s="33"/>
      <c r="H30" s="33"/>
      <c r="I30" s="33"/>
      <c r="J30" s="33"/>
      <c r="K30" s="33"/>
      <c r="L30" s="33"/>
      <c r="M30" s="33"/>
      <c r="N30" s="33"/>
      <c r="O30" s="33"/>
    </row>
    <row r="37" spans="2:16">
      <c r="B37" s="33"/>
      <c r="C37" s="33"/>
      <c r="D37" s="33"/>
      <c r="E37" s="33"/>
      <c r="F37" s="33"/>
      <c r="G37" s="33"/>
      <c r="H37" s="33"/>
      <c r="I37" s="33"/>
      <c r="J37" s="33"/>
      <c r="K37" s="33"/>
      <c r="L37" s="33"/>
      <c r="M37" s="33"/>
      <c r="N37" s="33"/>
      <c r="O37" s="33"/>
      <c r="P37" s="33"/>
    </row>
    <row r="38" spans="2:16">
      <c r="B38" s="33"/>
      <c r="C38" s="33"/>
      <c r="D38" s="33"/>
      <c r="E38" s="33"/>
      <c r="F38" s="33"/>
      <c r="G38" s="33"/>
      <c r="H38" s="33"/>
      <c r="I38" s="33"/>
      <c r="J38" s="33"/>
      <c r="K38" s="33"/>
      <c r="L38" s="33"/>
      <c r="M38" s="33"/>
      <c r="N38" s="33"/>
      <c r="O38" s="33"/>
      <c r="P38" s="33"/>
    </row>
    <row r="39" spans="2:16">
      <c r="B39" s="33"/>
      <c r="C39" s="33"/>
      <c r="D39" s="33"/>
      <c r="E39" s="33"/>
      <c r="F39" s="33"/>
      <c r="G39" s="33"/>
      <c r="H39" s="33"/>
      <c r="I39" s="33"/>
      <c r="J39" s="33"/>
      <c r="K39" s="33"/>
      <c r="L39" s="33"/>
      <c r="M39" s="33"/>
      <c r="N39" s="33"/>
      <c r="O39" s="33"/>
      <c r="P39" s="33"/>
    </row>
    <row r="40" spans="2:16">
      <c r="B40" s="33"/>
      <c r="C40" s="33"/>
      <c r="D40" s="33"/>
      <c r="E40" s="33"/>
      <c r="F40" s="33"/>
      <c r="G40" s="33"/>
      <c r="H40" s="33"/>
      <c r="I40" s="33"/>
      <c r="J40" s="33"/>
      <c r="K40" s="33"/>
      <c r="L40" s="33"/>
      <c r="M40" s="33"/>
      <c r="N40" s="33"/>
      <c r="O40" s="33"/>
      <c r="P40" s="33"/>
    </row>
    <row r="41" spans="2:16">
      <c r="B41" s="33"/>
      <c r="C41" s="33"/>
      <c r="D41" s="33"/>
      <c r="E41" s="33"/>
      <c r="F41" s="33"/>
      <c r="G41" s="33"/>
      <c r="H41" s="33"/>
      <c r="I41" s="33"/>
      <c r="J41" s="33"/>
      <c r="K41" s="33"/>
      <c r="L41" s="33"/>
      <c r="M41" s="33"/>
      <c r="N41" s="33"/>
      <c r="O41" s="33"/>
      <c r="P41" s="33"/>
    </row>
    <row r="42" spans="2:16">
      <c r="B42" s="33"/>
      <c r="C42" s="33"/>
      <c r="D42" s="33"/>
      <c r="E42" s="33"/>
      <c r="F42" s="33"/>
      <c r="G42" s="33"/>
      <c r="H42" s="33"/>
      <c r="I42" s="33"/>
      <c r="J42" s="33"/>
      <c r="K42" s="33"/>
      <c r="L42" s="33"/>
      <c r="M42" s="33"/>
      <c r="N42" s="33"/>
      <c r="O42" s="33"/>
      <c r="P42" s="33"/>
    </row>
    <row r="43" spans="2:16">
      <c r="B43" s="33"/>
      <c r="C43" s="33"/>
      <c r="D43" s="33"/>
      <c r="E43" s="33"/>
      <c r="F43" s="33"/>
      <c r="G43" s="33"/>
      <c r="H43" s="33"/>
      <c r="I43" s="33"/>
      <c r="J43" s="33"/>
      <c r="K43" s="33"/>
      <c r="L43" s="33"/>
      <c r="M43" s="33"/>
      <c r="N43" s="33"/>
      <c r="O43" s="33"/>
      <c r="P43" s="33"/>
    </row>
    <row r="44" spans="2:16">
      <c r="B44" s="33"/>
      <c r="C44" s="33"/>
      <c r="D44" s="33"/>
      <c r="E44" s="33"/>
      <c r="F44" s="33"/>
      <c r="G44" s="33"/>
      <c r="H44" s="33"/>
      <c r="I44" s="33"/>
      <c r="J44" s="33"/>
      <c r="K44" s="33"/>
      <c r="L44" s="33"/>
      <c r="M44" s="33"/>
      <c r="N44" s="33"/>
      <c r="O44" s="33"/>
      <c r="P44" s="33"/>
    </row>
  </sheetData>
  <mergeCells count="4">
    <mergeCell ref="A1:G1"/>
    <mergeCell ref="A2:A3"/>
    <mergeCell ref="B2:H2"/>
    <mergeCell ref="I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29"/>
  <sheetViews>
    <sheetView zoomScaleNormal="100" workbookViewId="0">
      <selection activeCell="B6" sqref="B6"/>
    </sheetView>
  </sheetViews>
  <sheetFormatPr defaultColWidth="8.85546875" defaultRowHeight="15"/>
  <cols>
    <col min="1" max="9" width="14.7109375" style="21" bestFit="1" customWidth="1"/>
    <col min="10" max="10" width="5" style="21" bestFit="1" customWidth="1"/>
    <col min="11" max="16384" width="8.85546875" style="21"/>
  </cols>
  <sheetData>
    <row r="1" spans="1:9" ht="18.75" customHeight="1">
      <c r="A1" s="1223" t="s">
        <v>610</v>
      </c>
      <c r="B1" s="1223"/>
      <c r="C1" s="1223"/>
      <c r="D1" s="1223"/>
      <c r="E1" s="1223"/>
      <c r="F1" s="1223"/>
      <c r="G1" s="1223"/>
    </row>
    <row r="2" spans="1:9" s="22" customFormat="1" ht="27" customHeight="1">
      <c r="A2" s="1336" t="s">
        <v>83</v>
      </c>
      <c r="B2" s="1384" t="s">
        <v>588</v>
      </c>
      <c r="C2" s="1385"/>
      <c r="D2" s="1385"/>
      <c r="E2" s="1386"/>
      <c r="F2" s="1387" t="s">
        <v>611</v>
      </c>
      <c r="G2" s="1388"/>
      <c r="H2" s="1388"/>
      <c r="I2" s="1389"/>
    </row>
    <row r="3" spans="1:9" s="22" customFormat="1" ht="18" customHeight="1">
      <c r="A3" s="1337"/>
      <c r="B3" s="494" t="s">
        <v>599</v>
      </c>
      <c r="C3" s="494" t="s">
        <v>600</v>
      </c>
      <c r="D3" s="494" t="s">
        <v>601</v>
      </c>
      <c r="E3" s="494" t="s">
        <v>602</v>
      </c>
      <c r="F3" s="494" t="s">
        <v>599</v>
      </c>
      <c r="G3" s="494" t="s">
        <v>600</v>
      </c>
      <c r="H3" s="494" t="s">
        <v>601</v>
      </c>
      <c r="I3" s="494" t="s">
        <v>602</v>
      </c>
    </row>
    <row r="4" spans="1:9" s="22" customFormat="1" ht="18" customHeight="1">
      <c r="A4" s="399" t="s">
        <v>58</v>
      </c>
      <c r="B4" s="405">
        <v>43153.868839249997</v>
      </c>
      <c r="C4" s="405">
        <v>941.32911249999995</v>
      </c>
      <c r="D4" s="405">
        <v>1223.80989875</v>
      </c>
      <c r="E4" s="405">
        <v>5.5111017499999999</v>
      </c>
      <c r="F4" s="405">
        <v>6062</v>
      </c>
      <c r="G4" s="405">
        <v>11</v>
      </c>
      <c r="H4" s="405">
        <v>0</v>
      </c>
      <c r="I4" s="405">
        <v>0</v>
      </c>
    </row>
    <row r="5" spans="1:9" s="22" customFormat="1" ht="18" customHeight="1">
      <c r="A5" s="399" t="s">
        <v>61</v>
      </c>
      <c r="B5" s="405">
        <f>SUM(B6:B19)</f>
        <v>81808.839499500013</v>
      </c>
      <c r="C5" s="405">
        <f>SUM(C6:C19)</f>
        <v>492.62036724999996</v>
      </c>
      <c r="D5" s="405">
        <f>SUM(D6:D19)</f>
        <v>1768.2201734999999</v>
      </c>
      <c r="E5" s="405">
        <f>SUM(E6:E19)</f>
        <v>1.0682815000000001</v>
      </c>
      <c r="F5" s="405">
        <f>F16</f>
        <v>44470</v>
      </c>
      <c r="G5" s="405">
        <f>G16</f>
        <v>61</v>
      </c>
      <c r="H5" s="405">
        <f>H16</f>
        <v>16014</v>
      </c>
      <c r="I5" s="405">
        <f t="shared" ref="I5" si="0">I14</f>
        <v>0</v>
      </c>
    </row>
    <row r="6" spans="1:9" s="22" customFormat="1" ht="18" customHeight="1">
      <c r="A6" s="409" t="s">
        <v>60</v>
      </c>
      <c r="B6" s="411">
        <v>1782.7734902499999</v>
      </c>
      <c r="C6" s="411">
        <v>1.07487325</v>
      </c>
      <c r="D6" s="411">
        <v>1.4330572500000001</v>
      </c>
      <c r="E6" s="411">
        <v>0</v>
      </c>
      <c r="F6" s="411">
        <v>21998</v>
      </c>
      <c r="G6" s="411">
        <v>52</v>
      </c>
      <c r="H6" s="411">
        <v>25</v>
      </c>
      <c r="I6" s="411">
        <v>0</v>
      </c>
    </row>
    <row r="7" spans="1:9" s="22" customFormat="1" ht="18" customHeight="1">
      <c r="A7" s="409" t="s">
        <v>59</v>
      </c>
      <c r="B7" s="411">
        <v>1694.2693977500001</v>
      </c>
      <c r="C7" s="411">
        <v>5.6188107499999997</v>
      </c>
      <c r="D7" s="411">
        <v>2.5352252499999999</v>
      </c>
      <c r="E7" s="411">
        <v>0</v>
      </c>
      <c r="F7" s="411">
        <v>9148</v>
      </c>
      <c r="G7" s="411">
        <v>506</v>
      </c>
      <c r="H7" s="411">
        <v>25</v>
      </c>
      <c r="I7" s="411">
        <v>0</v>
      </c>
    </row>
    <row r="8" spans="1:9" s="22" customFormat="1" ht="18" customHeight="1">
      <c r="A8" s="409" t="s">
        <v>310</v>
      </c>
      <c r="B8" s="411">
        <v>2830.3128132500001</v>
      </c>
      <c r="C8" s="411">
        <v>18.986320249999999</v>
      </c>
      <c r="D8" s="411">
        <v>4.9520929999999996</v>
      </c>
      <c r="E8" s="411">
        <v>0</v>
      </c>
      <c r="F8" s="411">
        <v>15405</v>
      </c>
      <c r="G8" s="411">
        <v>201</v>
      </c>
      <c r="H8" s="411">
        <v>77</v>
      </c>
      <c r="I8" s="411">
        <v>0</v>
      </c>
    </row>
    <row r="9" spans="1:9" s="22" customFormat="1" ht="18" customHeight="1">
      <c r="A9" s="409" t="s">
        <v>356</v>
      </c>
      <c r="B9" s="411">
        <v>4050.15318325</v>
      </c>
      <c r="C9" s="411">
        <v>11.57521225</v>
      </c>
      <c r="D9" s="411">
        <v>2.6938279999999999</v>
      </c>
      <c r="E9" s="411">
        <v>0</v>
      </c>
      <c r="F9" s="411">
        <v>12489</v>
      </c>
      <c r="G9" s="411">
        <v>691</v>
      </c>
      <c r="H9" s="411">
        <v>0</v>
      </c>
      <c r="I9" s="411">
        <v>0</v>
      </c>
    </row>
    <row r="10" spans="1:9" s="22" customFormat="1" ht="18" customHeight="1">
      <c r="A10" s="409" t="s">
        <v>384</v>
      </c>
      <c r="B10" s="411">
        <v>5267.13913925</v>
      </c>
      <c r="C10" s="411">
        <v>21.453854249999999</v>
      </c>
      <c r="D10" s="411">
        <v>2.7702545000000001</v>
      </c>
      <c r="E10" s="411">
        <v>3.5465000000000003E-2</v>
      </c>
      <c r="F10" s="411">
        <v>14061</v>
      </c>
      <c r="G10" s="411">
        <v>332</v>
      </c>
      <c r="H10" s="411">
        <v>52</v>
      </c>
      <c r="I10" s="411">
        <v>0</v>
      </c>
    </row>
    <row r="11" spans="1:9" s="22" customFormat="1" ht="18" customHeight="1">
      <c r="A11" s="409" t="s">
        <v>386</v>
      </c>
      <c r="B11" s="411">
        <v>6855.9462997500004</v>
      </c>
      <c r="C11" s="411">
        <v>19.511039499999999</v>
      </c>
      <c r="D11" s="411">
        <v>13.0047035</v>
      </c>
      <c r="E11" s="411">
        <v>0.15425475</v>
      </c>
      <c r="F11" s="411">
        <v>17122</v>
      </c>
      <c r="G11" s="411">
        <v>818</v>
      </c>
      <c r="H11" s="411">
        <v>80</v>
      </c>
      <c r="I11" s="411">
        <v>8</v>
      </c>
    </row>
    <row r="12" spans="1:9" s="22" customFormat="1" ht="18" customHeight="1">
      <c r="A12" s="409" t="s">
        <v>392</v>
      </c>
      <c r="B12" s="411">
        <v>9052.7969822499999</v>
      </c>
      <c r="C12" s="411">
        <v>11.5355455</v>
      </c>
      <c r="D12" s="411">
        <v>10.840890249999999</v>
      </c>
      <c r="E12" s="411">
        <v>2.7848000000000001E-2</v>
      </c>
      <c r="F12" s="411">
        <v>12488</v>
      </c>
      <c r="G12" s="411">
        <v>9</v>
      </c>
      <c r="H12" s="411">
        <v>225</v>
      </c>
      <c r="I12" s="411">
        <v>0</v>
      </c>
    </row>
    <row r="13" spans="1:9" s="22" customFormat="1" ht="18" customHeight="1">
      <c r="A13" s="409" t="s">
        <v>396</v>
      </c>
      <c r="B13" s="411">
        <v>12276.608694500001</v>
      </c>
      <c r="C13" s="411">
        <v>39.58774975</v>
      </c>
      <c r="D13" s="411">
        <v>27.6656765</v>
      </c>
      <c r="E13" s="411">
        <v>0.85071375000000005</v>
      </c>
      <c r="F13" s="411">
        <v>38915</v>
      </c>
      <c r="G13" s="411">
        <v>2396</v>
      </c>
      <c r="H13" s="411">
        <v>1008</v>
      </c>
      <c r="I13" s="411">
        <v>60</v>
      </c>
    </row>
    <row r="14" spans="1:9" s="22" customFormat="1" ht="18" customHeight="1">
      <c r="A14" s="409">
        <v>44166</v>
      </c>
      <c r="B14" s="411">
        <v>13721.07467475</v>
      </c>
      <c r="C14" s="411">
        <v>350.74438624999999</v>
      </c>
      <c r="D14" s="411">
        <v>238.45725924999999</v>
      </c>
      <c r="E14" s="411">
        <v>0</v>
      </c>
      <c r="F14" s="411">
        <v>44699</v>
      </c>
      <c r="G14" s="411">
        <v>22108</v>
      </c>
      <c r="H14" s="411">
        <v>3965</v>
      </c>
      <c r="I14" s="411">
        <v>0</v>
      </c>
    </row>
    <row r="15" spans="1:9" s="22" customFormat="1" ht="18" customHeight="1">
      <c r="A15" s="409">
        <v>44197</v>
      </c>
      <c r="B15" s="411">
        <v>12992.705213249999</v>
      </c>
      <c r="C15" s="411">
        <v>4.0490882499999996</v>
      </c>
      <c r="D15" s="411">
        <v>565.51656324999999</v>
      </c>
      <c r="E15" s="411">
        <v>0</v>
      </c>
      <c r="F15" s="411">
        <v>89545</v>
      </c>
      <c r="G15" s="411">
        <v>19</v>
      </c>
      <c r="H15" s="411">
        <v>41874</v>
      </c>
      <c r="I15" s="411">
        <v>0</v>
      </c>
    </row>
    <row r="16" spans="1:9" s="22" customFormat="1" ht="18" customHeight="1">
      <c r="A16" s="409">
        <v>44228</v>
      </c>
      <c r="B16" s="411">
        <v>11285.059611250001</v>
      </c>
      <c r="C16" s="411">
        <v>8.4834872499999996</v>
      </c>
      <c r="D16" s="411">
        <v>898.35062274999996</v>
      </c>
      <c r="E16" s="411">
        <v>0</v>
      </c>
      <c r="F16" s="411">
        <v>44470</v>
      </c>
      <c r="G16" s="411">
        <v>61</v>
      </c>
      <c r="H16" s="411">
        <v>16014</v>
      </c>
      <c r="I16" s="411">
        <v>0</v>
      </c>
    </row>
    <row r="17" spans="1:9" s="22" customFormat="1" ht="18" customHeight="1">
      <c r="A17" s="495" t="s">
        <v>422</v>
      </c>
      <c r="B17" s="495"/>
      <c r="C17" s="495"/>
      <c r="D17" s="495"/>
      <c r="E17" s="495"/>
      <c r="F17" s="34"/>
      <c r="G17" s="34"/>
      <c r="H17" s="34"/>
      <c r="I17" s="34"/>
    </row>
    <row r="18" spans="1:9" s="22" customFormat="1" ht="18" customHeight="1">
      <c r="A18" s="1383" t="s">
        <v>607</v>
      </c>
      <c r="B18" s="1383"/>
      <c r="C18" s="1383"/>
      <c r="D18" s="1383"/>
      <c r="E18" s="1383"/>
      <c r="F18" s="34"/>
      <c r="G18" s="34"/>
      <c r="H18" s="34"/>
      <c r="I18" s="34"/>
    </row>
    <row r="19" spans="1:9" s="22" customFormat="1" ht="18" customHeight="1">
      <c r="A19" s="1383" t="s">
        <v>1173</v>
      </c>
      <c r="B19" s="1383"/>
      <c r="C19" s="1383"/>
      <c r="D19" s="1383"/>
      <c r="E19" s="1383"/>
      <c r="F19" s="21"/>
      <c r="G19" s="34"/>
      <c r="H19" s="34"/>
      <c r="I19" s="34"/>
    </row>
    <row r="20" spans="1:9" s="22" customFormat="1" ht="18" customHeight="1">
      <c r="A20" s="1383" t="s">
        <v>128</v>
      </c>
      <c r="B20" s="1383"/>
      <c r="C20" s="1383"/>
      <c r="D20" s="1383"/>
      <c r="E20" s="1383"/>
      <c r="F20" s="21"/>
      <c r="G20" s="21"/>
      <c r="H20" s="21"/>
      <c r="I20" s="21"/>
    </row>
    <row r="21" spans="1:9" s="22" customFormat="1" ht="15.75" customHeight="1">
      <c r="F21" s="21"/>
      <c r="G21" s="21"/>
      <c r="H21" s="21"/>
      <c r="I21" s="21"/>
    </row>
    <row r="22" spans="1:9" s="22" customFormat="1" ht="15" customHeight="1">
      <c r="F22" s="21"/>
      <c r="G22" s="21"/>
      <c r="H22" s="21"/>
      <c r="I22" s="21"/>
    </row>
    <row r="23" spans="1:9" s="22" customFormat="1" ht="15" customHeight="1">
      <c r="F23" s="21"/>
      <c r="G23" s="21"/>
      <c r="H23" s="21"/>
      <c r="I23" s="21"/>
    </row>
    <row r="28" spans="1:9">
      <c r="B28" s="151"/>
      <c r="C28" s="151"/>
      <c r="D28" s="151"/>
      <c r="E28" s="151"/>
      <c r="F28" s="151"/>
      <c r="G28" s="151"/>
      <c r="H28" s="151"/>
      <c r="I28" s="151"/>
    </row>
    <row r="29" spans="1:9">
      <c r="B29" s="151"/>
    </row>
  </sheetData>
  <mergeCells count="7">
    <mergeCell ref="A19:E19"/>
    <mergeCell ref="A20:E20"/>
    <mergeCell ref="A1:G1"/>
    <mergeCell ref="A2:A3"/>
    <mergeCell ref="B2:E2"/>
    <mergeCell ref="F2:I2"/>
    <mergeCell ref="A18:E18"/>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24"/>
  <sheetViews>
    <sheetView zoomScaleNormal="100" workbookViewId="0">
      <selection activeCell="B7" sqref="B7"/>
    </sheetView>
  </sheetViews>
  <sheetFormatPr defaultColWidth="8.85546875" defaultRowHeight="15"/>
  <cols>
    <col min="1" max="7" width="12.140625" style="21" bestFit="1" customWidth="1"/>
    <col min="8" max="8" width="13" style="21" bestFit="1" customWidth="1"/>
    <col min="9" max="9" width="12.140625" style="21" bestFit="1" customWidth="1"/>
    <col min="10" max="10" width="9.28515625" style="21" bestFit="1" customWidth="1"/>
    <col min="11" max="11" width="11.5703125" style="21" bestFit="1" customWidth="1"/>
    <col min="12" max="12" width="15" style="21" customWidth="1"/>
    <col min="13" max="13" width="14.85546875" style="21" customWidth="1"/>
    <col min="14" max="14" width="8.85546875" style="21"/>
    <col min="15" max="16" width="12.7109375" style="21" bestFit="1" customWidth="1"/>
    <col min="17" max="17" width="10.7109375" style="21" bestFit="1" customWidth="1"/>
    <col min="18" max="18" width="12" style="21" bestFit="1" customWidth="1"/>
    <col min="19" max="19" width="10.85546875" style="21" bestFit="1" customWidth="1"/>
    <col min="20" max="16384" width="8.85546875" style="21"/>
  </cols>
  <sheetData>
    <row r="1" spans="1:17">
      <c r="A1" s="355" t="s">
        <v>612</v>
      </c>
      <c r="B1" s="356"/>
      <c r="C1" s="356"/>
      <c r="D1" s="356"/>
      <c r="E1" s="356"/>
      <c r="F1" s="356"/>
      <c r="G1" s="356"/>
      <c r="H1" s="356"/>
      <c r="I1" s="356"/>
      <c r="J1" s="356"/>
    </row>
    <row r="2" spans="1:17">
      <c r="A2" s="355"/>
      <c r="B2" s="356"/>
      <c r="C2" s="356"/>
      <c r="D2" s="356"/>
      <c r="E2" s="356"/>
      <c r="F2" s="356"/>
      <c r="G2" s="356"/>
      <c r="H2" s="356"/>
      <c r="I2" s="356"/>
      <c r="J2" s="356"/>
      <c r="K2" s="387" t="s">
        <v>613</v>
      </c>
    </row>
    <row r="3" spans="1:17" s="497" customFormat="1">
      <c r="A3" s="1390"/>
      <c r="B3" s="1392" t="s">
        <v>614</v>
      </c>
      <c r="C3" s="1393"/>
      <c r="D3" s="1393"/>
      <c r="E3" s="1393"/>
      <c r="F3" s="1394"/>
      <c r="G3" s="1392" t="s">
        <v>586</v>
      </c>
      <c r="H3" s="1393"/>
      <c r="I3" s="1393"/>
      <c r="J3" s="1393"/>
      <c r="K3" s="1394"/>
    </row>
    <row r="4" spans="1:17" s="497" customFormat="1">
      <c r="A4" s="1391"/>
      <c r="B4" s="498" t="s">
        <v>615</v>
      </c>
      <c r="C4" s="498" t="s">
        <v>616</v>
      </c>
      <c r="D4" s="498" t="s">
        <v>617</v>
      </c>
      <c r="E4" s="498" t="s">
        <v>618</v>
      </c>
      <c r="F4" s="498" t="s">
        <v>619</v>
      </c>
      <c r="G4" s="498" t="s">
        <v>615</v>
      </c>
      <c r="H4" s="498" t="s">
        <v>616</v>
      </c>
      <c r="I4" s="498" t="s">
        <v>617</v>
      </c>
      <c r="J4" s="498" t="s">
        <v>618</v>
      </c>
      <c r="K4" s="498" t="s">
        <v>619</v>
      </c>
    </row>
    <row r="5" spans="1:17" s="497" customFormat="1">
      <c r="A5" s="499" t="s">
        <v>58</v>
      </c>
      <c r="B5" s="500">
        <v>67678.573399999994</v>
      </c>
      <c r="C5" s="500">
        <v>2427178.9339000001</v>
      </c>
      <c r="D5" s="500">
        <v>346918.81520000007</v>
      </c>
      <c r="E5" s="500">
        <v>10602.6005</v>
      </c>
      <c r="F5" s="500">
        <v>531.97350000000006</v>
      </c>
      <c r="G5" s="500">
        <v>455671.57740000007</v>
      </c>
      <c r="H5" s="500">
        <v>3139015.6289000004</v>
      </c>
      <c r="I5" s="500">
        <v>235548.33520000003</v>
      </c>
      <c r="J5" s="500">
        <v>127.55050000000001</v>
      </c>
      <c r="K5" s="500">
        <v>0</v>
      </c>
      <c r="L5" s="501"/>
      <c r="M5" s="501"/>
      <c r="O5" s="501"/>
      <c r="P5" s="501"/>
      <c r="Q5" s="501"/>
    </row>
    <row r="6" spans="1:17" s="497" customFormat="1">
      <c r="A6" s="499" t="s">
        <v>620</v>
      </c>
      <c r="B6" s="500">
        <f>SUM(B7:B23)</f>
        <v>208002.08970000001</v>
      </c>
      <c r="C6" s="500">
        <f t="shared" ref="C6:K6" si="0">SUM(C7:C23)</f>
        <v>1320656.2271999996</v>
      </c>
      <c r="D6" s="500">
        <f t="shared" si="0"/>
        <v>303046.50210000004</v>
      </c>
      <c r="E6" s="500">
        <f t="shared" si="0"/>
        <v>8764.5293000000001</v>
      </c>
      <c r="F6" s="500">
        <f t="shared" si="0"/>
        <v>4841.1034</v>
      </c>
      <c r="G6" s="500">
        <f t="shared" si="0"/>
        <v>714226.53700000013</v>
      </c>
      <c r="H6" s="500">
        <f t="shared" si="0"/>
        <v>1675482.4992000002</v>
      </c>
      <c r="I6" s="500">
        <f t="shared" si="0"/>
        <v>325432.83529999998</v>
      </c>
      <c r="J6" s="500">
        <f t="shared" si="0"/>
        <v>27.162200000000002</v>
      </c>
      <c r="K6" s="500">
        <f t="shared" si="0"/>
        <v>0</v>
      </c>
      <c r="L6" s="501"/>
      <c r="M6" s="501"/>
      <c r="O6" s="501"/>
      <c r="P6" s="501"/>
      <c r="Q6" s="501"/>
    </row>
    <row r="7" spans="1:17">
      <c r="A7" s="352">
        <v>43925</v>
      </c>
      <c r="B7" s="502">
        <v>7960.0966000000008</v>
      </c>
      <c r="C7" s="502">
        <v>99902.342699999994</v>
      </c>
      <c r="D7" s="502">
        <v>30270.1973</v>
      </c>
      <c r="E7" s="502">
        <v>684.37549999999999</v>
      </c>
      <c r="F7" s="502">
        <v>3.2729000000000004</v>
      </c>
      <c r="G7" s="502">
        <v>60556.640300000006</v>
      </c>
      <c r="H7" s="502">
        <v>43953.919900000001</v>
      </c>
      <c r="I7" s="502">
        <v>27813.531299999999</v>
      </c>
      <c r="J7" s="502">
        <v>0</v>
      </c>
      <c r="K7" s="502">
        <v>0</v>
      </c>
      <c r="L7" s="503"/>
      <c r="M7" s="503"/>
      <c r="O7" s="503"/>
      <c r="P7" s="503"/>
      <c r="Q7" s="503"/>
    </row>
    <row r="8" spans="1:17">
      <c r="A8" s="352">
        <v>43955</v>
      </c>
      <c r="B8" s="502">
        <v>8918.1</v>
      </c>
      <c r="C8" s="502">
        <v>98146.42</v>
      </c>
      <c r="D8" s="502">
        <v>24875.23</v>
      </c>
      <c r="E8" s="502">
        <v>274.55</v>
      </c>
      <c r="F8" s="502">
        <v>8.24</v>
      </c>
      <c r="G8" s="502">
        <v>50195.75</v>
      </c>
      <c r="H8" s="502">
        <v>89806.55</v>
      </c>
      <c r="I8" s="502">
        <v>33912.230000000003</v>
      </c>
      <c r="J8" s="502">
        <v>7.81</v>
      </c>
      <c r="K8" s="502">
        <v>0</v>
      </c>
      <c r="L8" s="503"/>
      <c r="M8" s="503"/>
      <c r="O8" s="503"/>
      <c r="P8" s="503"/>
      <c r="Q8" s="503"/>
    </row>
    <row r="9" spans="1:17">
      <c r="A9" s="352">
        <v>43986</v>
      </c>
      <c r="B9" s="502">
        <v>13295.71</v>
      </c>
      <c r="C9" s="502">
        <v>129794.97</v>
      </c>
      <c r="D9" s="502">
        <v>36969.9</v>
      </c>
      <c r="E9" s="502">
        <v>331.2</v>
      </c>
      <c r="F9" s="502">
        <v>1.74</v>
      </c>
      <c r="G9" s="502">
        <v>49830.09</v>
      </c>
      <c r="H9" s="502">
        <v>199656.84</v>
      </c>
      <c r="I9" s="502">
        <v>37358.5</v>
      </c>
      <c r="J9" s="502">
        <v>6.09</v>
      </c>
      <c r="K9" s="502">
        <v>0</v>
      </c>
      <c r="L9" s="503"/>
      <c r="M9" s="503"/>
      <c r="O9" s="503"/>
      <c r="P9" s="503"/>
      <c r="Q9" s="503"/>
    </row>
    <row r="10" spans="1:17">
      <c r="A10" s="352">
        <v>44016</v>
      </c>
      <c r="B10" s="502">
        <v>19106.900000000001</v>
      </c>
      <c r="C10" s="502">
        <v>136887.07</v>
      </c>
      <c r="D10" s="502">
        <v>33567.660000000003</v>
      </c>
      <c r="E10" s="502">
        <v>815.07</v>
      </c>
      <c r="F10" s="502">
        <v>6.06</v>
      </c>
      <c r="G10" s="502">
        <v>42237.66</v>
      </c>
      <c r="H10" s="502">
        <v>171323.64</v>
      </c>
      <c r="I10" s="502">
        <v>33216.53</v>
      </c>
      <c r="J10" s="502">
        <v>5.74</v>
      </c>
      <c r="K10" s="502">
        <v>0</v>
      </c>
      <c r="L10" s="503"/>
      <c r="M10" s="503"/>
      <c r="O10" s="503"/>
      <c r="P10" s="503"/>
      <c r="Q10" s="503"/>
    </row>
    <row r="11" spans="1:17">
      <c r="A11" s="352">
        <v>44047</v>
      </c>
      <c r="B11" s="502">
        <v>14000.68</v>
      </c>
      <c r="C11" s="502">
        <v>124186.34</v>
      </c>
      <c r="D11" s="502">
        <v>29186.13</v>
      </c>
      <c r="E11" s="502">
        <v>706.36</v>
      </c>
      <c r="F11" s="502">
        <v>31.53</v>
      </c>
      <c r="G11" s="502">
        <v>76576.679999999993</v>
      </c>
      <c r="H11" s="502">
        <v>183546.54</v>
      </c>
      <c r="I11" s="502">
        <v>23556.01</v>
      </c>
      <c r="J11" s="502">
        <v>0</v>
      </c>
      <c r="K11" s="502">
        <v>0</v>
      </c>
      <c r="L11" s="503"/>
      <c r="M11" s="503"/>
      <c r="O11" s="503"/>
      <c r="P11" s="503"/>
      <c r="Q11" s="503"/>
    </row>
    <row r="12" spans="1:17">
      <c r="A12" s="352">
        <v>44078</v>
      </c>
      <c r="B12" s="502">
        <v>17283.412800000006</v>
      </c>
      <c r="C12" s="502">
        <v>152283.57309999992</v>
      </c>
      <c r="D12" s="502">
        <v>20091.901300000005</v>
      </c>
      <c r="E12" s="502">
        <v>284.26319999999998</v>
      </c>
      <c r="F12" s="502">
        <v>5.3710999999999984</v>
      </c>
      <c r="G12" s="502">
        <v>96113.698300000018</v>
      </c>
      <c r="H12" s="502">
        <v>103470.18430000002</v>
      </c>
      <c r="I12" s="502">
        <v>39944.986800000013</v>
      </c>
      <c r="J12" s="502">
        <v>0</v>
      </c>
      <c r="K12" s="502">
        <v>0</v>
      </c>
      <c r="L12" s="503"/>
      <c r="M12" s="503"/>
      <c r="O12" s="503"/>
      <c r="P12" s="503"/>
      <c r="Q12" s="503"/>
    </row>
    <row r="13" spans="1:17">
      <c r="A13" s="352">
        <v>44108</v>
      </c>
      <c r="B13" s="502">
        <v>22833.8593</v>
      </c>
      <c r="C13" s="502">
        <v>104438.3431</v>
      </c>
      <c r="D13" s="502">
        <v>26737.337300000003</v>
      </c>
      <c r="E13" s="502">
        <v>1103.5839000000001</v>
      </c>
      <c r="F13" s="502">
        <v>196.40420000000003</v>
      </c>
      <c r="G13" s="502">
        <v>93290.604700000011</v>
      </c>
      <c r="H13" s="504">
        <v>130976.30700000003</v>
      </c>
      <c r="I13" s="502">
        <v>29314.242500000008</v>
      </c>
      <c r="J13" s="502">
        <v>7.7000000000000002E-3</v>
      </c>
      <c r="K13" s="502">
        <v>0</v>
      </c>
      <c r="L13" s="503"/>
      <c r="M13" s="503"/>
      <c r="O13" s="503"/>
      <c r="P13" s="503"/>
      <c r="Q13" s="503"/>
    </row>
    <row r="14" spans="1:17">
      <c r="A14" s="352">
        <v>44139</v>
      </c>
      <c r="B14" s="502">
        <v>21442.835599999999</v>
      </c>
      <c r="C14" s="502">
        <v>116928.2282</v>
      </c>
      <c r="D14" s="502">
        <v>30751.4365</v>
      </c>
      <c r="E14" s="502">
        <v>1111.8635999999999</v>
      </c>
      <c r="F14" s="502">
        <v>321.30420000000004</v>
      </c>
      <c r="G14" s="502">
        <v>70017.414300000004</v>
      </c>
      <c r="H14" s="502">
        <v>133223.3811</v>
      </c>
      <c r="I14" s="502">
        <v>28450.421000000006</v>
      </c>
      <c r="J14" s="502">
        <v>0</v>
      </c>
      <c r="K14" s="502">
        <v>0</v>
      </c>
      <c r="L14" s="503"/>
      <c r="M14" s="503"/>
      <c r="O14" s="503"/>
      <c r="P14" s="503"/>
      <c r="Q14" s="503"/>
    </row>
    <row r="15" spans="1:17" s="505" customFormat="1">
      <c r="A15" s="352">
        <v>44169</v>
      </c>
      <c r="B15" s="502">
        <v>24540.7696</v>
      </c>
      <c r="C15" s="502">
        <v>129524.42890000001</v>
      </c>
      <c r="D15" s="502">
        <v>25112.138900000002</v>
      </c>
      <c r="E15" s="502">
        <v>1020.7021000000001</v>
      </c>
      <c r="F15" s="502">
        <v>922.22100000000012</v>
      </c>
      <c r="G15" s="502">
        <v>59498.388700000003</v>
      </c>
      <c r="H15" s="502">
        <v>232712.5172</v>
      </c>
      <c r="I15" s="502">
        <v>23601.888599999998</v>
      </c>
      <c r="J15" s="502">
        <v>7.5145000000000008</v>
      </c>
      <c r="K15" s="502">
        <v>0</v>
      </c>
    </row>
    <row r="16" spans="1:17" s="505" customFormat="1">
      <c r="A16" s="352">
        <v>44200</v>
      </c>
      <c r="B16" s="502">
        <v>28652.4058</v>
      </c>
      <c r="C16" s="502">
        <v>105116.3912</v>
      </c>
      <c r="D16" s="502">
        <v>22632.210800000001</v>
      </c>
      <c r="E16" s="502">
        <v>1003.571</v>
      </c>
      <c r="F16" s="502">
        <v>687.89</v>
      </c>
      <c r="G16" s="502">
        <v>54617.030699999981</v>
      </c>
      <c r="H16" s="502">
        <v>203280.36970000001</v>
      </c>
      <c r="I16" s="502">
        <v>24272.345099999999</v>
      </c>
      <c r="J16" s="502">
        <v>0</v>
      </c>
      <c r="K16" s="502">
        <v>0</v>
      </c>
    </row>
    <row r="17" spans="1:11" s="505" customFormat="1">
      <c r="A17" s="352">
        <v>44231</v>
      </c>
      <c r="B17" s="502">
        <v>29967.32</v>
      </c>
      <c r="C17" s="502">
        <v>123448.12</v>
      </c>
      <c r="D17" s="502">
        <v>22852.36</v>
      </c>
      <c r="E17" s="502">
        <v>1428.99</v>
      </c>
      <c r="F17" s="502">
        <v>2657.07</v>
      </c>
      <c r="G17" s="502">
        <v>61292.58</v>
      </c>
      <c r="H17" s="502">
        <v>183532.25</v>
      </c>
      <c r="I17" s="502">
        <v>23992.15</v>
      </c>
      <c r="J17" s="502">
        <v>0</v>
      </c>
      <c r="K17" s="502">
        <v>0</v>
      </c>
    </row>
    <row r="18" spans="1:11" s="505" customFormat="1">
      <c r="A18" s="29" t="s">
        <v>36</v>
      </c>
      <c r="B18" s="506"/>
      <c r="C18" s="506"/>
      <c r="D18" s="506"/>
      <c r="E18" s="506"/>
      <c r="F18" s="506"/>
      <c r="G18" s="506"/>
      <c r="H18" s="506"/>
      <c r="I18" s="506"/>
      <c r="J18" s="506"/>
      <c r="K18" s="507"/>
    </row>
    <row r="19" spans="1:11" s="505" customFormat="1">
      <c r="A19" s="29" t="s">
        <v>621</v>
      </c>
      <c r="B19" s="506"/>
      <c r="C19" s="506"/>
      <c r="D19" s="506"/>
      <c r="E19" s="506"/>
      <c r="F19" s="506"/>
      <c r="G19" s="506"/>
      <c r="H19" s="506"/>
      <c r="I19" s="506"/>
      <c r="J19" s="506"/>
      <c r="K19" s="507"/>
    </row>
    <row r="20" spans="1:11" s="505" customFormat="1">
      <c r="A20" s="29" t="s">
        <v>1176</v>
      </c>
      <c r="B20" s="506"/>
      <c r="C20" s="506"/>
      <c r="D20" s="506"/>
      <c r="E20" s="506"/>
      <c r="F20" s="506"/>
      <c r="G20" s="506"/>
      <c r="H20" s="506"/>
      <c r="I20" s="506"/>
      <c r="J20" s="506"/>
      <c r="K20" s="507"/>
    </row>
    <row r="21" spans="1:11">
      <c r="A21" s="29" t="s">
        <v>583</v>
      </c>
      <c r="B21" s="35"/>
      <c r="C21" s="34"/>
      <c r="D21" s="34"/>
      <c r="E21" s="34"/>
      <c r="F21" s="35"/>
      <c r="G21" s="34"/>
      <c r="H21" s="34"/>
      <c r="I21" s="34"/>
    </row>
    <row r="23" spans="1:11" ht="15" customHeight="1">
      <c r="B23" s="29"/>
      <c r="C23" s="29"/>
      <c r="D23" s="29"/>
      <c r="E23" s="29"/>
      <c r="F23" s="29"/>
      <c r="G23" s="29"/>
      <c r="H23" s="29"/>
      <c r="I23" s="29"/>
    </row>
    <row r="24" spans="1:11">
      <c r="B24" s="29"/>
      <c r="C24" s="29"/>
      <c r="D24" s="29"/>
      <c r="E24" s="29"/>
      <c r="F24" s="29"/>
      <c r="G24" s="29"/>
      <c r="H24" s="29"/>
      <c r="I24" s="29"/>
    </row>
  </sheetData>
  <mergeCells count="3">
    <mergeCell ref="A3:A4"/>
    <mergeCell ref="B3:F3"/>
    <mergeCell ref="G3:K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1"/>
  <sheetViews>
    <sheetView workbookViewId="0">
      <selection activeCell="G25" sqref="G25"/>
    </sheetView>
  </sheetViews>
  <sheetFormatPr defaultColWidth="8.85546875" defaultRowHeight="15"/>
  <cols>
    <col min="1" max="1" width="14.7109375" style="1" bestFit="1" customWidth="1"/>
    <col min="2" max="2" width="11.42578125" style="1" bestFit="1" customWidth="1"/>
    <col min="3" max="3" width="12.140625" style="1" bestFit="1" customWidth="1"/>
    <col min="4" max="4" width="12" style="1" customWidth="1"/>
    <col min="5" max="5" width="12.140625" style="1" customWidth="1"/>
    <col min="6" max="6" width="11.28515625" style="1" customWidth="1"/>
    <col min="7" max="7" width="12.140625" style="1" customWidth="1"/>
    <col min="8" max="8" width="9" style="1" customWidth="1"/>
    <col min="9" max="9" width="11.7109375" style="1" customWidth="1"/>
    <col min="10" max="10" width="4.7109375" style="1" bestFit="1" customWidth="1"/>
    <col min="11" max="16384" width="8.85546875" style="1"/>
  </cols>
  <sheetData>
    <row r="1" spans="1:14">
      <c r="A1" s="1182" t="s">
        <v>1</v>
      </c>
      <c r="B1" s="1182"/>
      <c r="C1" s="1182"/>
      <c r="D1" s="1182"/>
      <c r="E1" s="1182"/>
      <c r="F1" s="1182"/>
      <c r="G1" s="1182"/>
      <c r="H1" s="1182"/>
      <c r="I1" s="1182"/>
    </row>
    <row r="2" spans="1:14" s="20" customFormat="1">
      <c r="A2" s="1185" t="s">
        <v>51</v>
      </c>
      <c r="B2" s="1188" t="s">
        <v>312</v>
      </c>
      <c r="C2" s="1189"/>
      <c r="D2" s="1189"/>
      <c r="E2" s="1189"/>
      <c r="F2" s="1189"/>
      <c r="G2" s="1189"/>
      <c r="H2" s="1189"/>
      <c r="I2" s="1190"/>
    </row>
    <row r="3" spans="1:14" s="20" customFormat="1">
      <c r="A3" s="1186"/>
      <c r="B3" s="1188" t="s">
        <v>52</v>
      </c>
      <c r="C3" s="1189"/>
      <c r="D3" s="1189"/>
      <c r="E3" s="1189"/>
      <c r="F3" s="1189"/>
      <c r="G3" s="1190"/>
      <c r="H3" s="1191" t="s">
        <v>53</v>
      </c>
      <c r="I3" s="1192"/>
    </row>
    <row r="4" spans="1:14" s="20" customFormat="1" ht="15" customHeight="1">
      <c r="A4" s="1186"/>
      <c r="B4" s="1193" t="s">
        <v>54</v>
      </c>
      <c r="C4" s="1194"/>
      <c r="D4" s="1193" t="s">
        <v>55</v>
      </c>
      <c r="E4" s="1194"/>
      <c r="F4" s="1193" t="s">
        <v>56</v>
      </c>
      <c r="G4" s="1194"/>
      <c r="H4" s="1195" t="s">
        <v>57</v>
      </c>
      <c r="I4" s="1195" t="s">
        <v>440</v>
      </c>
    </row>
    <row r="5" spans="1:14" s="20" customFormat="1" ht="30">
      <c r="A5" s="1187"/>
      <c r="B5" s="55" t="s">
        <v>57</v>
      </c>
      <c r="C5" s="55" t="s">
        <v>440</v>
      </c>
      <c r="D5" s="55" t="s">
        <v>57</v>
      </c>
      <c r="E5" s="55" t="s">
        <v>440</v>
      </c>
      <c r="F5" s="55" t="s">
        <v>57</v>
      </c>
      <c r="G5" s="55" t="s">
        <v>440</v>
      </c>
      <c r="H5" s="1196"/>
      <c r="I5" s="1196"/>
    </row>
    <row r="6" spans="1:14" s="20" customFormat="1">
      <c r="A6" s="56" t="s">
        <v>58</v>
      </c>
      <c r="B6" s="57">
        <v>49</v>
      </c>
      <c r="C6" s="58">
        <v>16401.64</v>
      </c>
      <c r="D6" s="57">
        <v>4</v>
      </c>
      <c r="E6" s="58">
        <v>3641.83</v>
      </c>
      <c r="F6" s="57">
        <v>3</v>
      </c>
      <c r="G6" s="58">
        <v>478.38</v>
      </c>
      <c r="H6" s="57">
        <v>56</v>
      </c>
      <c r="I6" s="59">
        <v>20521.849999999999</v>
      </c>
      <c r="L6" s="61"/>
      <c r="N6" s="61"/>
    </row>
    <row r="7" spans="1:14" s="20" customFormat="1">
      <c r="A7" s="201" t="s">
        <v>61</v>
      </c>
      <c r="B7" s="58">
        <f>SUM(B8:B18)</f>
        <v>34</v>
      </c>
      <c r="C7" s="58">
        <f t="shared" ref="C7:I7" si="0">SUM(C8:C18)</f>
        <v>9097.9900000000016</v>
      </c>
      <c r="D7" s="58">
        <f t="shared" si="0"/>
        <v>2</v>
      </c>
      <c r="E7" s="58">
        <f t="shared" si="0"/>
        <v>9.8699999999999992</v>
      </c>
      <c r="F7" s="58">
        <f t="shared" si="0"/>
        <v>8</v>
      </c>
      <c r="G7" s="58">
        <f t="shared" si="0"/>
        <v>272.51</v>
      </c>
      <c r="H7" s="58">
        <f>SUM(H8:H18)</f>
        <v>44</v>
      </c>
      <c r="I7" s="58">
        <f t="shared" si="0"/>
        <v>9380.369999999999</v>
      </c>
      <c r="J7" s="1"/>
      <c r="K7" s="61"/>
      <c r="L7" s="61"/>
      <c r="N7" s="61"/>
    </row>
    <row r="8" spans="1:14" s="20" customFormat="1">
      <c r="A8" s="68" t="s">
        <v>458</v>
      </c>
      <c r="B8" s="14">
        <v>2</v>
      </c>
      <c r="C8" s="202">
        <v>1.36</v>
      </c>
      <c r="D8" s="14">
        <v>1</v>
      </c>
      <c r="E8" s="202">
        <v>2.36</v>
      </c>
      <c r="F8" s="14">
        <v>0</v>
      </c>
      <c r="G8" s="202">
        <v>0</v>
      </c>
      <c r="H8" s="14">
        <v>3</v>
      </c>
      <c r="I8" s="203">
        <v>3.72</v>
      </c>
      <c r="L8" s="61"/>
      <c r="N8" s="61"/>
    </row>
    <row r="9" spans="1:14" s="20" customFormat="1">
      <c r="A9" s="68" t="s">
        <v>59</v>
      </c>
      <c r="B9" s="14">
        <v>0</v>
      </c>
      <c r="C9" s="202">
        <v>0</v>
      </c>
      <c r="D9" s="14">
        <v>0</v>
      </c>
      <c r="E9" s="202">
        <v>0</v>
      </c>
      <c r="F9" s="14">
        <v>0</v>
      </c>
      <c r="G9" s="202">
        <v>0</v>
      </c>
      <c r="H9" s="14">
        <v>0</v>
      </c>
      <c r="I9" s="204">
        <v>0</v>
      </c>
      <c r="L9" s="61"/>
      <c r="N9" s="61"/>
    </row>
    <row r="10" spans="1:14" s="20" customFormat="1">
      <c r="A10" s="68" t="s">
        <v>310</v>
      </c>
      <c r="B10" s="14">
        <v>4</v>
      </c>
      <c r="C10" s="202">
        <v>1088.1099999999999</v>
      </c>
      <c r="D10" s="14">
        <v>0</v>
      </c>
      <c r="E10" s="202">
        <v>0</v>
      </c>
      <c r="F10" s="14">
        <v>0</v>
      </c>
      <c r="G10" s="202">
        <v>0</v>
      </c>
      <c r="H10" s="14">
        <v>4</v>
      </c>
      <c r="I10" s="203">
        <v>1088.1099999999999</v>
      </c>
      <c r="L10" s="61"/>
      <c r="N10" s="61"/>
    </row>
    <row r="11" spans="1:14" s="20" customFormat="1">
      <c r="A11" s="68" t="s">
        <v>356</v>
      </c>
      <c r="B11" s="204">
        <v>2</v>
      </c>
      <c r="C11" s="205">
        <v>528.16</v>
      </c>
      <c r="D11" s="204">
        <v>0</v>
      </c>
      <c r="E11" s="205">
        <v>0</v>
      </c>
      <c r="F11" s="204">
        <v>0</v>
      </c>
      <c r="G11" s="205">
        <v>0</v>
      </c>
      <c r="H11" s="204">
        <v>2</v>
      </c>
      <c r="I11" s="206">
        <v>528.16</v>
      </c>
      <c r="L11" s="61"/>
      <c r="N11" s="61"/>
    </row>
    <row r="12" spans="1:14" s="20" customFormat="1">
      <c r="A12" s="68" t="s">
        <v>384</v>
      </c>
      <c r="B12" s="204">
        <v>7</v>
      </c>
      <c r="C12" s="205">
        <v>3852.44</v>
      </c>
      <c r="D12" s="204">
        <v>1</v>
      </c>
      <c r="E12" s="205">
        <v>7.51</v>
      </c>
      <c r="F12" s="204">
        <v>1</v>
      </c>
      <c r="G12" s="205">
        <v>1.72</v>
      </c>
      <c r="H12" s="204">
        <v>9</v>
      </c>
      <c r="I12" s="206">
        <v>3861.67</v>
      </c>
      <c r="L12" s="61"/>
      <c r="N12" s="61"/>
    </row>
    <row r="13" spans="1:14" s="20" customFormat="1">
      <c r="A13" s="68">
        <v>44075</v>
      </c>
      <c r="B13" s="204">
        <v>5</v>
      </c>
      <c r="C13" s="205">
        <v>3008.03</v>
      </c>
      <c r="D13" s="204">
        <v>0</v>
      </c>
      <c r="E13" s="205">
        <v>0</v>
      </c>
      <c r="F13" s="204">
        <v>1</v>
      </c>
      <c r="G13" s="205">
        <v>2.36</v>
      </c>
      <c r="H13" s="204">
        <f>B13+D13+F13</f>
        <v>6</v>
      </c>
      <c r="I13" s="206">
        <f>C13+E13+G13</f>
        <v>3010.3900000000003</v>
      </c>
      <c r="L13" s="61"/>
      <c r="N13" s="61"/>
    </row>
    <row r="14" spans="1:14" s="20" customFormat="1">
      <c r="A14" s="68">
        <v>44105</v>
      </c>
      <c r="B14" s="204">
        <v>6</v>
      </c>
      <c r="C14" s="205">
        <v>480.5</v>
      </c>
      <c r="D14" s="204">
        <v>0</v>
      </c>
      <c r="E14" s="205">
        <v>0</v>
      </c>
      <c r="F14" s="204">
        <v>0</v>
      </c>
      <c r="G14" s="205">
        <v>0</v>
      </c>
      <c r="H14" s="204">
        <v>6</v>
      </c>
      <c r="I14" s="206">
        <v>480.5</v>
      </c>
      <c r="L14" s="61"/>
      <c r="N14" s="61"/>
    </row>
    <row r="15" spans="1:14" s="20" customFormat="1">
      <c r="A15" s="69" t="s">
        <v>396</v>
      </c>
      <c r="B15" s="204">
        <v>0</v>
      </c>
      <c r="C15" s="204">
        <v>0</v>
      </c>
      <c r="D15" s="204">
        <v>0</v>
      </c>
      <c r="E15" s="204">
        <v>0</v>
      </c>
      <c r="F15" s="204">
        <v>0</v>
      </c>
      <c r="G15" s="204">
        <v>0</v>
      </c>
      <c r="H15" s="204">
        <v>0</v>
      </c>
      <c r="I15" s="204">
        <v>0</v>
      </c>
      <c r="L15" s="61"/>
      <c r="N15" s="61"/>
    </row>
    <row r="16" spans="1:14" s="20" customFormat="1">
      <c r="A16" s="68">
        <v>44167</v>
      </c>
      <c r="B16" s="204">
        <v>2</v>
      </c>
      <c r="C16" s="205">
        <v>19.350000000000001</v>
      </c>
      <c r="D16" s="204">
        <v>0</v>
      </c>
      <c r="E16" s="205">
        <v>0</v>
      </c>
      <c r="F16" s="204">
        <v>2</v>
      </c>
      <c r="G16" s="205">
        <v>28.14</v>
      </c>
      <c r="H16" s="204">
        <v>4</v>
      </c>
      <c r="I16" s="206">
        <v>47.49</v>
      </c>
      <c r="L16" s="61"/>
      <c r="N16" s="61"/>
    </row>
    <row r="17" spans="1:14" s="20" customFormat="1">
      <c r="A17" s="68">
        <v>44227</v>
      </c>
      <c r="B17" s="204">
        <v>2</v>
      </c>
      <c r="C17" s="205">
        <v>103</v>
      </c>
      <c r="D17" s="204">
        <v>0</v>
      </c>
      <c r="E17" s="205">
        <v>0</v>
      </c>
      <c r="F17" s="204">
        <v>3</v>
      </c>
      <c r="G17" s="205">
        <v>46.15</v>
      </c>
      <c r="H17" s="204">
        <v>5</v>
      </c>
      <c r="I17" s="206">
        <v>149.15</v>
      </c>
      <c r="L17" s="61"/>
      <c r="N17" s="61"/>
    </row>
    <row r="18" spans="1:14" s="20" customFormat="1">
      <c r="A18" s="68">
        <v>44228</v>
      </c>
      <c r="B18" s="204">
        <v>4</v>
      </c>
      <c r="C18" s="205">
        <v>17.04</v>
      </c>
      <c r="D18" s="204">
        <v>0</v>
      </c>
      <c r="E18" s="205">
        <v>0</v>
      </c>
      <c r="F18" s="204">
        <v>1</v>
      </c>
      <c r="G18" s="205">
        <v>194.14</v>
      </c>
      <c r="H18" s="204">
        <v>5</v>
      </c>
      <c r="I18" s="206">
        <v>211.18</v>
      </c>
      <c r="L18" s="61"/>
      <c r="N18" s="61"/>
    </row>
    <row r="19" spans="1:14" s="20" customFormat="1">
      <c r="A19" s="1181" t="s">
        <v>1174</v>
      </c>
      <c r="B19" s="1181"/>
      <c r="C19" s="1181"/>
      <c r="D19" s="1181"/>
      <c r="E19" s="1181"/>
      <c r="F19" s="1181"/>
      <c r="G19" s="1181"/>
      <c r="H19" s="1181"/>
      <c r="I19" s="1181"/>
    </row>
    <row r="20" spans="1:14" s="20" customFormat="1">
      <c r="A20" s="1181" t="s">
        <v>43</v>
      </c>
      <c r="B20" s="1181"/>
      <c r="C20" s="1181"/>
      <c r="D20" s="1181"/>
      <c r="E20" s="1181"/>
      <c r="F20" s="1181"/>
      <c r="G20" s="1181"/>
      <c r="H20" s="1181"/>
      <c r="I20" s="1181"/>
    </row>
    <row r="21" spans="1:14" s="20" customFormat="1"/>
  </sheetData>
  <mergeCells count="12">
    <mergeCell ref="A19:I19"/>
    <mergeCell ref="A20:I20"/>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K21"/>
  <sheetViews>
    <sheetView zoomScaleNormal="100" workbookViewId="0">
      <selection activeCell="B7" sqref="B7"/>
    </sheetView>
  </sheetViews>
  <sheetFormatPr defaultColWidth="8.85546875" defaultRowHeight="15"/>
  <cols>
    <col min="1" max="1" width="12.140625" style="21" bestFit="1" customWidth="1"/>
    <col min="2" max="2" width="11.7109375" style="21" customWidth="1"/>
    <col min="3" max="9" width="12.140625" style="21" bestFit="1" customWidth="1"/>
    <col min="10" max="10" width="12.42578125" style="21" bestFit="1" customWidth="1"/>
    <col min="11" max="11" width="11.28515625" style="21" bestFit="1" customWidth="1"/>
    <col min="12" max="13" width="12.7109375" style="21" bestFit="1" customWidth="1"/>
    <col min="14" max="16384" width="8.85546875" style="21"/>
  </cols>
  <sheetData>
    <row r="1" spans="1:11" ht="17.25" customHeight="1">
      <c r="A1" s="1250" t="s">
        <v>622</v>
      </c>
      <c r="B1" s="1250"/>
      <c r="C1" s="1250"/>
      <c r="D1" s="1250"/>
      <c r="E1" s="1250"/>
      <c r="F1" s="1250"/>
      <c r="G1" s="1250"/>
      <c r="H1" s="1250"/>
      <c r="I1" s="1250"/>
      <c r="J1" s="1250"/>
    </row>
    <row r="2" spans="1:11" ht="17.25" customHeight="1">
      <c r="A2" s="396"/>
      <c r="B2" s="396"/>
      <c r="C2" s="396"/>
      <c r="D2" s="396"/>
      <c r="E2" s="396"/>
      <c r="F2" s="396"/>
      <c r="G2" s="396"/>
      <c r="H2" s="396"/>
      <c r="I2" s="396"/>
      <c r="K2" s="508" t="s">
        <v>613</v>
      </c>
    </row>
    <row r="3" spans="1:11" s="497" customFormat="1">
      <c r="A3" s="1395" t="s">
        <v>623</v>
      </c>
      <c r="B3" s="1396" t="s">
        <v>614</v>
      </c>
      <c r="C3" s="1397"/>
      <c r="D3" s="1397"/>
      <c r="E3" s="1397"/>
      <c r="F3" s="1398"/>
      <c r="G3" s="1399" t="s">
        <v>586</v>
      </c>
      <c r="H3" s="1399"/>
      <c r="I3" s="1399"/>
      <c r="J3" s="1399"/>
      <c r="K3" s="1399"/>
    </row>
    <row r="4" spans="1:11" s="497" customFormat="1">
      <c r="A4" s="1395"/>
      <c r="B4" s="510" t="s">
        <v>615</v>
      </c>
      <c r="C4" s="509" t="s">
        <v>616</v>
      </c>
      <c r="D4" s="509" t="s">
        <v>617</v>
      </c>
      <c r="E4" s="509" t="s">
        <v>618</v>
      </c>
      <c r="F4" s="509" t="s">
        <v>619</v>
      </c>
      <c r="G4" s="510" t="s">
        <v>615</v>
      </c>
      <c r="H4" s="509" t="s">
        <v>616</v>
      </c>
      <c r="I4" s="509" t="s">
        <v>617</v>
      </c>
      <c r="J4" s="509" t="s">
        <v>618</v>
      </c>
      <c r="K4" s="509" t="s">
        <v>619</v>
      </c>
    </row>
    <row r="5" spans="1:11" s="497" customFormat="1">
      <c r="A5" s="399" t="s">
        <v>58</v>
      </c>
      <c r="B5" s="511">
        <v>0</v>
      </c>
      <c r="C5" s="511">
        <v>3697571.6570838909</v>
      </c>
      <c r="D5" s="511">
        <v>991649.22305296198</v>
      </c>
      <c r="E5" s="511">
        <v>77821.751610499996</v>
      </c>
      <c r="F5" s="511">
        <v>39596.808018000003</v>
      </c>
      <c r="G5" s="511">
        <v>2507876.7970492495</v>
      </c>
      <c r="H5" s="511">
        <v>2079667.3101492743</v>
      </c>
      <c r="I5" s="511">
        <v>258721.89402423357</v>
      </c>
      <c r="J5" s="511">
        <v>1449.3758826723611</v>
      </c>
      <c r="K5" s="511">
        <v>38.951504679144996</v>
      </c>
    </row>
    <row r="6" spans="1:11" s="497" customFormat="1">
      <c r="A6" s="399" t="s">
        <v>61</v>
      </c>
      <c r="B6" s="511">
        <f>SUM(B7:B21)</f>
        <v>7918.2590492500021</v>
      </c>
      <c r="C6" s="511">
        <f t="shared" ref="C6:K6" si="0">SUM(C7:C21)</f>
        <v>4089239.3437498054</v>
      </c>
      <c r="D6" s="511">
        <f t="shared" si="0"/>
        <v>897424.12396266614</v>
      </c>
      <c r="E6" s="511">
        <f t="shared" si="0"/>
        <v>81293.565190938229</v>
      </c>
      <c r="F6" s="511">
        <f t="shared" si="0"/>
        <v>44049.017520786008</v>
      </c>
      <c r="G6" s="511">
        <f t="shared" si="0"/>
        <v>3112028.3199702506</v>
      </c>
      <c r="H6" s="511">
        <f t="shared" si="0"/>
        <v>2126859.6473357556</v>
      </c>
      <c r="I6" s="511">
        <f t="shared" si="0"/>
        <v>299369.44910365384</v>
      </c>
      <c r="J6" s="511">
        <f t="shared" si="0"/>
        <v>3200.1796679999998</v>
      </c>
      <c r="K6" s="511">
        <f t="shared" si="0"/>
        <v>25.013417249999996</v>
      </c>
    </row>
    <row r="7" spans="1:11">
      <c r="A7" s="512">
        <v>43937</v>
      </c>
      <c r="B7" s="513">
        <v>0</v>
      </c>
      <c r="C7" s="513">
        <v>282105.40494778188</v>
      </c>
      <c r="D7" s="513">
        <v>81657.161574411686</v>
      </c>
      <c r="E7" s="513">
        <v>6045.598669250001</v>
      </c>
      <c r="F7" s="513">
        <v>2397.3038892500017</v>
      </c>
      <c r="G7" s="513">
        <v>146154.51298624996</v>
      </c>
      <c r="H7" s="513">
        <v>159705.52339125</v>
      </c>
      <c r="I7" s="513">
        <v>18209.84984875</v>
      </c>
      <c r="J7" s="513">
        <v>5.8659007499999998</v>
      </c>
      <c r="K7" s="513">
        <v>1.236035</v>
      </c>
    </row>
    <row r="8" spans="1:11">
      <c r="A8" s="512">
        <v>43967</v>
      </c>
      <c r="B8" s="513">
        <v>0</v>
      </c>
      <c r="C8" s="513">
        <v>289073.96292616415</v>
      </c>
      <c r="D8" s="513">
        <v>71291.097026727366</v>
      </c>
      <c r="E8" s="513">
        <v>6200.1757614999997</v>
      </c>
      <c r="F8" s="513">
        <v>1243.3119362499997</v>
      </c>
      <c r="G8" s="513">
        <v>197766.16782925001</v>
      </c>
      <c r="H8" s="513">
        <v>147472.21469299999</v>
      </c>
      <c r="I8" s="513">
        <v>16461.794493499998</v>
      </c>
      <c r="J8" s="513">
        <v>3.1046317500000002</v>
      </c>
      <c r="K8" s="513">
        <v>15.406516</v>
      </c>
    </row>
    <row r="9" spans="1:11">
      <c r="A9" s="512">
        <v>43998</v>
      </c>
      <c r="B9" s="513">
        <v>0</v>
      </c>
      <c r="C9" s="513">
        <v>368055.19401860272</v>
      </c>
      <c r="D9" s="513">
        <v>79812.84486310283</v>
      </c>
      <c r="E9" s="513">
        <v>5741.6815912500006</v>
      </c>
      <c r="F9" s="513">
        <v>2615.2436325000003</v>
      </c>
      <c r="G9" s="513">
        <v>253763.43202450007</v>
      </c>
      <c r="H9" s="513">
        <v>217173.0051121873</v>
      </c>
      <c r="I9" s="513">
        <v>21957.789865749997</v>
      </c>
      <c r="J9" s="513">
        <v>50.323695000000001</v>
      </c>
      <c r="K9" s="513">
        <v>0.55478800000000006</v>
      </c>
    </row>
    <row r="10" spans="1:11">
      <c r="A10" s="512">
        <v>44028</v>
      </c>
      <c r="B10" s="513">
        <v>0</v>
      </c>
      <c r="C10" s="513">
        <v>343621.22743649525</v>
      </c>
      <c r="D10" s="513">
        <v>75715.724604943796</v>
      </c>
      <c r="E10" s="513">
        <v>6821.7067212499996</v>
      </c>
      <c r="F10" s="513">
        <v>3196.3859745000009</v>
      </c>
      <c r="G10" s="513">
        <v>298499.01717275003</v>
      </c>
      <c r="H10" s="513">
        <v>194065.26787208952</v>
      </c>
      <c r="I10" s="513">
        <v>21469.900052682919</v>
      </c>
      <c r="J10" s="513">
        <v>6.211440249999999</v>
      </c>
      <c r="K10" s="513">
        <v>0.23060825000000001</v>
      </c>
    </row>
    <row r="11" spans="1:11">
      <c r="A11" s="512">
        <v>44059</v>
      </c>
      <c r="B11" s="513">
        <v>0</v>
      </c>
      <c r="C11" s="513">
        <v>353349.68550738128</v>
      </c>
      <c r="D11" s="513">
        <v>82858.698248930639</v>
      </c>
      <c r="E11" s="513">
        <v>7197.469908</v>
      </c>
      <c r="F11" s="513">
        <v>3790.5285645000004</v>
      </c>
      <c r="G11" s="513">
        <v>270486.15418174997</v>
      </c>
      <c r="H11" s="513">
        <v>223262.53317144106</v>
      </c>
      <c r="I11" s="513">
        <v>35785.982248439577</v>
      </c>
      <c r="J11" s="513">
        <v>132.76960975</v>
      </c>
      <c r="K11" s="513">
        <v>0.50807124999999997</v>
      </c>
    </row>
    <row r="12" spans="1:11">
      <c r="A12" s="512">
        <v>44090</v>
      </c>
      <c r="B12" s="513">
        <v>0</v>
      </c>
      <c r="C12" s="513">
        <v>452948.27855592634</v>
      </c>
      <c r="D12" s="513">
        <v>80381.218884495713</v>
      </c>
      <c r="E12" s="513">
        <v>6470.9441820000002</v>
      </c>
      <c r="F12" s="513">
        <v>3327.9559954999972</v>
      </c>
      <c r="G12" s="513">
        <v>351656.5829809999</v>
      </c>
      <c r="H12" s="513">
        <v>198197.76313625267</v>
      </c>
      <c r="I12" s="513">
        <v>27090.685699999998</v>
      </c>
      <c r="J12" s="513">
        <v>0</v>
      </c>
      <c r="K12" s="513">
        <v>0.16022424999999998</v>
      </c>
    </row>
    <row r="13" spans="1:11">
      <c r="A13" s="512">
        <v>44120</v>
      </c>
      <c r="B13" s="513">
        <v>0</v>
      </c>
      <c r="C13" s="513">
        <v>384692.94180718693</v>
      </c>
      <c r="D13" s="513">
        <v>69615.260364926333</v>
      </c>
      <c r="E13" s="513">
        <v>7198.7273770000002</v>
      </c>
      <c r="F13" s="513">
        <v>2434.3301632500029</v>
      </c>
      <c r="G13" s="513">
        <v>299691.94828975009</v>
      </c>
      <c r="H13" s="513">
        <v>187425.2971468888</v>
      </c>
      <c r="I13" s="513">
        <v>26416.711567249997</v>
      </c>
      <c r="J13" s="513">
        <v>193.06537250000002</v>
      </c>
      <c r="K13" s="513">
        <v>0</v>
      </c>
    </row>
    <row r="14" spans="1:11">
      <c r="A14" s="512">
        <v>44151</v>
      </c>
      <c r="B14" s="513">
        <v>0</v>
      </c>
      <c r="C14" s="513">
        <v>425573.17259514611</v>
      </c>
      <c r="D14" s="513">
        <v>78833.05429198801</v>
      </c>
      <c r="E14" s="513">
        <v>6725.7916578205995</v>
      </c>
      <c r="F14" s="513">
        <v>3192.0297465000008</v>
      </c>
      <c r="G14" s="513">
        <v>281825.58018975001</v>
      </c>
      <c r="H14" s="513">
        <v>198781.14603175002</v>
      </c>
      <c r="I14" s="513">
        <v>29009.47081825</v>
      </c>
      <c r="J14" s="513">
        <v>171.52512300000001</v>
      </c>
      <c r="K14" s="513">
        <v>0.24117200000000003</v>
      </c>
    </row>
    <row r="15" spans="1:11">
      <c r="A15" s="512">
        <v>44166</v>
      </c>
      <c r="B15" s="513">
        <v>2020.9794397499998</v>
      </c>
      <c r="C15" s="513">
        <v>466560.75696971256</v>
      </c>
      <c r="D15" s="513">
        <v>87770.083959889846</v>
      </c>
      <c r="E15" s="513">
        <v>7358.4980312786747</v>
      </c>
      <c r="F15" s="513">
        <v>6051.6485392859995</v>
      </c>
      <c r="G15" s="513">
        <v>351160.36951199995</v>
      </c>
      <c r="H15" s="513">
        <v>206395.49192489631</v>
      </c>
      <c r="I15" s="513">
        <v>33229.428957781398</v>
      </c>
      <c r="J15" s="513">
        <v>65.024004250000019</v>
      </c>
      <c r="K15" s="513">
        <v>6.5562682500000022</v>
      </c>
    </row>
    <row r="16" spans="1:11">
      <c r="A16" s="512">
        <v>44197</v>
      </c>
      <c r="B16" s="513">
        <v>2961.3815115000007</v>
      </c>
      <c r="C16" s="513">
        <v>335490.93859479023</v>
      </c>
      <c r="D16" s="513">
        <v>102129.98530164172</v>
      </c>
      <c r="E16" s="513">
        <v>9225.1257390889514</v>
      </c>
      <c r="F16" s="513">
        <v>9613.1284620000024</v>
      </c>
      <c r="G16" s="513">
        <v>335044.19403525011</v>
      </c>
      <c r="H16" s="513">
        <v>171539.44343874999</v>
      </c>
      <c r="I16" s="513">
        <v>34411.66952825</v>
      </c>
      <c r="J16" s="513">
        <v>789.53892174999999</v>
      </c>
      <c r="K16" s="513">
        <v>0.111955</v>
      </c>
    </row>
    <row r="17" spans="1:11">
      <c r="A17" s="512">
        <v>44228</v>
      </c>
      <c r="B17" s="513">
        <v>2935.898098000001</v>
      </c>
      <c r="C17" s="513">
        <v>387767.78039061732</v>
      </c>
      <c r="D17" s="513">
        <v>87358.994841608073</v>
      </c>
      <c r="E17" s="513">
        <v>12307.845552500001</v>
      </c>
      <c r="F17" s="513">
        <v>6187.1506172500003</v>
      </c>
      <c r="G17" s="513">
        <v>325980.36076800007</v>
      </c>
      <c r="H17" s="513">
        <v>222841.96141725002</v>
      </c>
      <c r="I17" s="513">
        <v>35326.166022999991</v>
      </c>
      <c r="J17" s="513">
        <v>1782.7509689999999</v>
      </c>
      <c r="K17" s="513">
        <v>7.7792499999999997E-3</v>
      </c>
    </row>
    <row r="18" spans="1:11">
      <c r="A18" s="495" t="s">
        <v>519</v>
      </c>
      <c r="B18" s="495"/>
      <c r="C18" s="35"/>
      <c r="D18" s="34"/>
      <c r="E18" s="34"/>
      <c r="F18" s="34"/>
      <c r="G18" s="35"/>
      <c r="H18" s="34"/>
      <c r="I18" s="34"/>
      <c r="J18" s="34"/>
    </row>
    <row r="19" spans="1:11">
      <c r="A19" s="495" t="s">
        <v>624</v>
      </c>
      <c r="B19" s="495"/>
    </row>
    <row r="20" spans="1:11">
      <c r="A20" s="390" t="s">
        <v>1173</v>
      </c>
      <c r="B20" s="390"/>
    </row>
    <row r="21" spans="1:11">
      <c r="A21" s="390" t="s">
        <v>157</v>
      </c>
      <c r="B21" s="390"/>
      <c r="C21" s="390"/>
      <c r="D21" s="390"/>
      <c r="E21" s="390"/>
      <c r="F21" s="390"/>
      <c r="G21" s="390"/>
      <c r="H21" s="390"/>
      <c r="I21" s="390"/>
      <c r="J21" s="390"/>
      <c r="K21" s="33"/>
    </row>
  </sheetData>
  <mergeCells count="4">
    <mergeCell ref="A1:J1"/>
    <mergeCell ref="A3:A4"/>
    <mergeCell ref="B3:F3"/>
    <mergeCell ref="G3:K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43"/>
  <sheetViews>
    <sheetView workbookViewId="0">
      <selection activeCell="D7" sqref="D7"/>
    </sheetView>
  </sheetViews>
  <sheetFormatPr defaultColWidth="8.85546875" defaultRowHeight="15"/>
  <cols>
    <col min="1" max="1" width="12.28515625" style="21" bestFit="1" customWidth="1"/>
    <col min="2" max="2" width="12.28515625" style="21" customWidth="1"/>
    <col min="3" max="3" width="10.42578125" style="21" bestFit="1" customWidth="1"/>
    <col min="4" max="5" width="9.5703125" style="21" bestFit="1" customWidth="1"/>
    <col min="6" max="6" width="12" style="21" bestFit="1" customWidth="1"/>
    <col min="7" max="7" width="8.42578125" style="21" bestFit="1" customWidth="1"/>
    <col min="8" max="9" width="9.5703125" style="21" bestFit="1" customWidth="1"/>
    <col min="10" max="10" width="10" style="21" bestFit="1" customWidth="1"/>
    <col min="11" max="11" width="12" style="21" bestFit="1" customWidth="1"/>
    <col min="12" max="16384" width="8.85546875" style="21"/>
  </cols>
  <sheetData>
    <row r="1" spans="1:11" ht="15.75" customHeight="1">
      <c r="A1" s="1250" t="s">
        <v>625</v>
      </c>
      <c r="B1" s="1250"/>
      <c r="C1" s="1250"/>
      <c r="D1" s="1250"/>
      <c r="E1" s="1250"/>
      <c r="F1" s="1250"/>
      <c r="G1" s="1250"/>
      <c r="H1" s="1250"/>
      <c r="I1" s="1250"/>
      <c r="J1" s="1250"/>
    </row>
    <row r="2" spans="1:11" ht="15.75" customHeight="1">
      <c r="A2" s="396"/>
      <c r="B2" s="396"/>
      <c r="C2" s="396"/>
      <c r="D2" s="396"/>
      <c r="E2" s="396"/>
      <c r="F2" s="396"/>
      <c r="G2" s="396"/>
      <c r="H2" s="396"/>
      <c r="I2" s="396"/>
      <c r="K2" s="508" t="s">
        <v>626</v>
      </c>
    </row>
    <row r="3" spans="1:11" s="22" customFormat="1" ht="18" customHeight="1">
      <c r="A3" s="1395" t="s">
        <v>623</v>
      </c>
      <c r="B3" s="1396" t="s">
        <v>614</v>
      </c>
      <c r="C3" s="1397"/>
      <c r="D3" s="1397"/>
      <c r="E3" s="1397"/>
      <c r="F3" s="1398"/>
      <c r="G3" s="1399" t="s">
        <v>586</v>
      </c>
      <c r="H3" s="1399"/>
      <c r="I3" s="1399"/>
      <c r="J3" s="1399"/>
      <c r="K3" s="1399"/>
    </row>
    <row r="4" spans="1:11" s="22" customFormat="1" ht="18" customHeight="1">
      <c r="A4" s="1395"/>
      <c r="B4" s="510" t="s">
        <v>615</v>
      </c>
      <c r="C4" s="509" t="s">
        <v>616</v>
      </c>
      <c r="D4" s="509" t="s">
        <v>617</v>
      </c>
      <c r="E4" s="509" t="s">
        <v>618</v>
      </c>
      <c r="F4" s="509" t="s">
        <v>619</v>
      </c>
      <c r="G4" s="510" t="s">
        <v>615</v>
      </c>
      <c r="H4" s="509" t="s">
        <v>616</v>
      </c>
      <c r="I4" s="509" t="s">
        <v>617</v>
      </c>
      <c r="J4" s="509" t="s">
        <v>618</v>
      </c>
      <c r="K4" s="509" t="s">
        <v>619</v>
      </c>
    </row>
    <row r="5" spans="1:11" s="23" customFormat="1" ht="17.25" customHeight="1">
      <c r="A5" s="514" t="s">
        <v>58</v>
      </c>
      <c r="B5" s="621">
        <v>5.0095749999999994E-2</v>
      </c>
      <c r="C5" s="622">
        <v>39121.486170749995</v>
      </c>
      <c r="D5" s="622">
        <v>2373.3182250000004</v>
      </c>
      <c r="E5" s="622">
        <v>25.859646249999997</v>
      </c>
      <c r="F5" s="622">
        <v>0.35620000000000002</v>
      </c>
      <c r="G5" s="622">
        <v>448.08408874999998</v>
      </c>
      <c r="H5" s="622">
        <v>3290.3011542499999</v>
      </c>
      <c r="I5" s="622">
        <v>65.06337225</v>
      </c>
      <c r="J5" s="623">
        <v>0</v>
      </c>
      <c r="K5" s="623">
        <v>0</v>
      </c>
    </row>
    <row r="6" spans="1:11" s="23" customFormat="1" ht="17.25" customHeight="1">
      <c r="A6" s="514" t="s">
        <v>61</v>
      </c>
      <c r="B6" s="621">
        <v>1.5148500000000001E-2</v>
      </c>
      <c r="C6" s="622">
        <f>SUM(C7:C17)</f>
        <v>77711.027426749992</v>
      </c>
      <c r="D6" s="622">
        <f>SUM(D7:D17)</f>
        <v>6265.2831070000011</v>
      </c>
      <c r="E6" s="622">
        <f>SUM(E7:E17)</f>
        <v>8.4674622499999987</v>
      </c>
      <c r="F6" s="622">
        <v>0.25720999999999999</v>
      </c>
      <c r="G6" s="622">
        <f>SUM(G7:G17)</f>
        <v>34.702861499999997</v>
      </c>
      <c r="H6" s="622">
        <f t="shared" ref="H6:K6" si="0">SUM(H7:H17)</f>
        <v>48.226092500000007</v>
      </c>
      <c r="I6" s="622">
        <f t="shared" si="0"/>
        <v>2.7840249999999997</v>
      </c>
      <c r="J6" s="622">
        <f t="shared" si="0"/>
        <v>0</v>
      </c>
      <c r="K6" s="622">
        <f t="shared" si="0"/>
        <v>0</v>
      </c>
    </row>
    <row r="7" spans="1:11" s="22" customFormat="1" ht="17.25" customHeight="1">
      <c r="A7" s="515">
        <v>43922</v>
      </c>
      <c r="B7" s="624">
        <v>0</v>
      </c>
      <c r="C7" s="625">
        <v>1556.7071227500001</v>
      </c>
      <c r="D7" s="625">
        <v>227.80689924999999</v>
      </c>
      <c r="E7" s="624">
        <v>0.76739875000000002</v>
      </c>
      <c r="F7" s="624">
        <v>0</v>
      </c>
      <c r="G7" s="624">
        <v>0</v>
      </c>
      <c r="H7" s="624">
        <v>0</v>
      </c>
      <c r="I7" s="624">
        <v>0</v>
      </c>
      <c r="J7" s="624">
        <v>0</v>
      </c>
      <c r="K7" s="624">
        <v>0</v>
      </c>
    </row>
    <row r="8" spans="1:11" s="22" customFormat="1" ht="17.25" customHeight="1">
      <c r="A8" s="515">
        <v>43982</v>
      </c>
      <c r="B8" s="624">
        <v>0</v>
      </c>
      <c r="C8" s="625">
        <v>1483.9977267500001</v>
      </c>
      <c r="D8" s="625">
        <v>211.95682475000001</v>
      </c>
      <c r="E8" s="624">
        <v>6.4688822500000001</v>
      </c>
      <c r="F8" s="624">
        <v>0</v>
      </c>
      <c r="G8" s="624">
        <v>0</v>
      </c>
      <c r="H8" s="624">
        <v>0</v>
      </c>
      <c r="I8" s="624">
        <v>0</v>
      </c>
      <c r="J8" s="624">
        <v>0</v>
      </c>
      <c r="K8" s="624">
        <v>0</v>
      </c>
    </row>
    <row r="9" spans="1:11" s="22" customFormat="1" ht="17.25" customHeight="1">
      <c r="A9" s="515">
        <v>43983</v>
      </c>
      <c r="B9" s="626">
        <v>1.5148500000000001E-2</v>
      </c>
      <c r="C9" s="624">
        <v>2632.5011452499998</v>
      </c>
      <c r="D9" s="625">
        <v>220.59277650000001</v>
      </c>
      <c r="E9" s="624">
        <v>1.14215625</v>
      </c>
      <c r="F9" s="624">
        <v>0</v>
      </c>
      <c r="G9" s="624">
        <v>0</v>
      </c>
      <c r="H9" s="624">
        <v>0</v>
      </c>
      <c r="I9" s="624">
        <v>0</v>
      </c>
      <c r="J9" s="624">
        <v>0</v>
      </c>
      <c r="K9" s="624">
        <v>0</v>
      </c>
    </row>
    <row r="10" spans="1:11" s="22" customFormat="1" ht="17.25" customHeight="1">
      <c r="A10" s="515">
        <v>44013</v>
      </c>
      <c r="B10" s="624">
        <v>0</v>
      </c>
      <c r="C10" s="625">
        <v>3514.5665024999998</v>
      </c>
      <c r="D10" s="625">
        <v>527.65367975000004</v>
      </c>
      <c r="E10" s="624">
        <v>0</v>
      </c>
      <c r="F10" s="624">
        <v>0</v>
      </c>
      <c r="G10" s="624">
        <v>0</v>
      </c>
      <c r="H10" s="624">
        <v>22.202041250000001</v>
      </c>
      <c r="I10" s="624">
        <v>0</v>
      </c>
      <c r="J10" s="624">
        <v>0</v>
      </c>
      <c r="K10" s="624">
        <v>0</v>
      </c>
    </row>
    <row r="11" spans="1:11" s="22" customFormat="1" ht="17.25" customHeight="1">
      <c r="A11" s="515">
        <v>44044</v>
      </c>
      <c r="B11" s="624">
        <v>0</v>
      </c>
      <c r="C11" s="625">
        <v>5026.9830835000002</v>
      </c>
      <c r="D11" s="625">
        <v>264.28710949999999</v>
      </c>
      <c r="E11" s="624">
        <v>0</v>
      </c>
      <c r="F11" s="624">
        <v>0.12852</v>
      </c>
      <c r="G11" s="624">
        <v>0</v>
      </c>
      <c r="H11" s="624">
        <v>0</v>
      </c>
      <c r="I11" s="624">
        <v>0</v>
      </c>
      <c r="J11" s="624">
        <v>0</v>
      </c>
      <c r="K11" s="624">
        <v>0</v>
      </c>
    </row>
    <row r="12" spans="1:11" s="22" customFormat="1" ht="17.25" customHeight="1">
      <c r="A12" s="515">
        <v>44075</v>
      </c>
      <c r="B12" s="624">
        <v>0</v>
      </c>
      <c r="C12" s="627">
        <v>6583.3953869999941</v>
      </c>
      <c r="D12" s="627">
        <v>301.3674054999999</v>
      </c>
      <c r="E12" s="628">
        <v>1.489E-2</v>
      </c>
      <c r="F12" s="624">
        <v>0.12869</v>
      </c>
      <c r="G12" s="628">
        <v>0</v>
      </c>
      <c r="H12" s="628">
        <v>2.9655750000000003</v>
      </c>
      <c r="I12" s="628">
        <v>0.74434999999999996</v>
      </c>
      <c r="J12" s="628">
        <v>0</v>
      </c>
      <c r="K12" s="624">
        <v>0</v>
      </c>
    </row>
    <row r="13" spans="1:11" s="22" customFormat="1" ht="17.25" customHeight="1">
      <c r="A13" s="515">
        <v>44105</v>
      </c>
      <c r="B13" s="624">
        <v>0</v>
      </c>
      <c r="C13" s="627">
        <v>8861.4025942499975</v>
      </c>
      <c r="D13" s="627">
        <v>206.14597700000004</v>
      </c>
      <c r="E13" s="628">
        <v>7.4135000000000006E-2</v>
      </c>
      <c r="F13" s="624">
        <v>0</v>
      </c>
      <c r="G13" s="628">
        <v>6.8384097499999994</v>
      </c>
      <c r="H13" s="628">
        <v>0.74014999999999997</v>
      </c>
      <c r="I13" s="628">
        <v>0</v>
      </c>
      <c r="J13" s="628">
        <v>0</v>
      </c>
      <c r="K13" s="624">
        <v>0</v>
      </c>
    </row>
    <row r="14" spans="1:11" s="22" customFormat="1" ht="13.5" customHeight="1">
      <c r="A14" s="515">
        <v>44136</v>
      </c>
      <c r="B14" s="624">
        <v>0</v>
      </c>
      <c r="C14" s="627">
        <v>11575.193201500009</v>
      </c>
      <c r="D14" s="627">
        <v>755.84537549999993</v>
      </c>
      <c r="E14" s="628">
        <v>0</v>
      </c>
      <c r="F14" s="624">
        <v>0</v>
      </c>
      <c r="G14" s="624">
        <v>6.2690002499999986</v>
      </c>
      <c r="H14" s="628">
        <v>5.3655822499999992</v>
      </c>
      <c r="I14" s="628">
        <v>2.0396749999999999</v>
      </c>
      <c r="J14" s="628">
        <v>0</v>
      </c>
      <c r="K14" s="624">
        <v>0</v>
      </c>
    </row>
    <row r="15" spans="1:11" s="22" customFormat="1" ht="13.5" customHeight="1">
      <c r="A15" s="515">
        <v>44166</v>
      </c>
      <c r="B15" s="624">
        <v>0</v>
      </c>
      <c r="C15" s="627">
        <v>13607.154036250004</v>
      </c>
      <c r="D15" s="627">
        <v>698.4936252500006</v>
      </c>
      <c r="E15" s="628">
        <v>0</v>
      </c>
      <c r="F15" s="624">
        <v>0</v>
      </c>
      <c r="G15" s="624">
        <v>3.8040005000000003</v>
      </c>
      <c r="H15" s="628">
        <v>0.82465824999999993</v>
      </c>
      <c r="I15" s="628">
        <v>0</v>
      </c>
      <c r="J15" s="628">
        <v>0</v>
      </c>
      <c r="K15" s="624">
        <v>0</v>
      </c>
    </row>
    <row r="16" spans="1:11" s="22" customFormat="1" ht="13.5" customHeight="1">
      <c r="A16" s="515">
        <v>44197</v>
      </c>
      <c r="B16" s="624">
        <v>0</v>
      </c>
      <c r="C16" s="627">
        <v>11968.225125999994</v>
      </c>
      <c r="D16" s="627">
        <v>1588.3944610000001</v>
      </c>
      <c r="E16" s="628">
        <v>0</v>
      </c>
      <c r="F16" s="624">
        <v>0</v>
      </c>
      <c r="G16" s="624">
        <v>3.6573215000000006</v>
      </c>
      <c r="H16" s="628">
        <v>1.9939562500000003</v>
      </c>
      <c r="I16" s="628">
        <v>0</v>
      </c>
      <c r="J16" s="628">
        <v>0</v>
      </c>
      <c r="K16" s="624">
        <v>0</v>
      </c>
    </row>
    <row r="17" spans="1:11" s="22" customFormat="1" ht="13.5" customHeight="1">
      <c r="A17" s="515">
        <v>44228</v>
      </c>
      <c r="B17" s="624">
        <v>0</v>
      </c>
      <c r="C17" s="627">
        <v>10900.901501</v>
      </c>
      <c r="D17" s="627">
        <v>1262.738973</v>
      </c>
      <c r="E17" s="628">
        <v>0</v>
      </c>
      <c r="F17" s="624">
        <v>0</v>
      </c>
      <c r="G17" s="624">
        <v>14.1341295</v>
      </c>
      <c r="H17" s="628">
        <v>14.1341295</v>
      </c>
      <c r="I17" s="628">
        <v>0</v>
      </c>
      <c r="J17" s="628">
        <v>0</v>
      </c>
      <c r="K17" s="624">
        <v>0</v>
      </c>
    </row>
    <row r="18" spans="1:11">
      <c r="A18" s="495" t="s">
        <v>519</v>
      </c>
      <c r="B18" s="495"/>
      <c r="C18" s="34"/>
      <c r="D18" s="34"/>
      <c r="E18" s="34"/>
      <c r="F18" s="34"/>
      <c r="G18" s="34"/>
      <c r="H18" s="34"/>
      <c r="I18" s="34"/>
      <c r="J18" s="34"/>
      <c r="K18" s="22"/>
    </row>
    <row r="19" spans="1:11">
      <c r="A19" s="495" t="s">
        <v>621</v>
      </c>
      <c r="B19" s="495"/>
      <c r="C19" s="34"/>
      <c r="D19" s="34"/>
      <c r="E19" s="34"/>
      <c r="F19" s="34"/>
      <c r="G19" s="34"/>
      <c r="H19" s="34"/>
      <c r="I19" s="34"/>
      <c r="J19" s="34"/>
      <c r="K19" s="22"/>
    </row>
    <row r="20" spans="1:11">
      <c r="A20" s="629" t="s">
        <v>1084</v>
      </c>
      <c r="B20" s="495"/>
      <c r="C20" s="34"/>
      <c r="D20" s="34"/>
      <c r="E20" s="34"/>
      <c r="F20" s="34"/>
      <c r="G20" s="34"/>
      <c r="H20" s="34"/>
      <c r="I20" s="34"/>
      <c r="J20" s="34"/>
      <c r="K20" s="22"/>
    </row>
    <row r="21" spans="1:11">
      <c r="A21" s="629" t="s">
        <v>1085</v>
      </c>
      <c r="B21" s="495"/>
      <c r="C21" s="34"/>
      <c r="D21" s="34"/>
      <c r="E21" s="34"/>
      <c r="F21" s="34"/>
      <c r="G21" s="34"/>
      <c r="H21" s="34"/>
      <c r="I21" s="34"/>
      <c r="J21" s="34"/>
      <c r="K21" s="22"/>
    </row>
    <row r="22" spans="1:11">
      <c r="A22" s="629" t="s">
        <v>1086</v>
      </c>
      <c r="B22" s="495"/>
      <c r="C22" s="34"/>
      <c r="D22" s="34"/>
      <c r="E22" s="34"/>
      <c r="F22" s="34"/>
      <c r="G22" s="34"/>
      <c r="H22" s="34"/>
      <c r="I22" s="34"/>
      <c r="J22" s="34"/>
      <c r="K22" s="22"/>
    </row>
    <row r="23" spans="1:11">
      <c r="A23" s="1215" t="s">
        <v>1173</v>
      </c>
      <c r="B23" s="1215"/>
      <c r="C23" s="1215"/>
      <c r="D23" s="1215"/>
      <c r="E23" s="1215"/>
      <c r="F23" s="1215"/>
      <c r="G23" s="1215"/>
      <c r="H23" s="1215"/>
      <c r="I23" s="1215"/>
      <c r="J23" s="1215"/>
      <c r="K23" s="22"/>
    </row>
    <row r="24" spans="1:11">
      <c r="A24" s="1215" t="s">
        <v>128</v>
      </c>
      <c r="B24" s="1215"/>
      <c r="C24" s="1215"/>
      <c r="D24" s="1215"/>
      <c r="E24" s="1215"/>
      <c r="F24" s="1215"/>
      <c r="G24" s="1215"/>
      <c r="H24" s="1215"/>
      <c r="I24" s="1215"/>
      <c r="J24" s="1215"/>
      <c r="K24" s="22"/>
    </row>
    <row r="26" spans="1:11">
      <c r="B26" s="71"/>
      <c r="C26" s="71"/>
      <c r="D26" s="71"/>
      <c r="E26" s="71"/>
      <c r="F26" s="71"/>
      <c r="G26" s="71"/>
      <c r="H26" s="71"/>
      <c r="I26" s="71"/>
      <c r="J26" s="71"/>
      <c r="K26" s="71"/>
    </row>
    <row r="27" spans="1:11">
      <c r="B27" s="71"/>
      <c r="C27" s="71"/>
      <c r="D27" s="71"/>
      <c r="E27" s="71"/>
      <c r="F27" s="71"/>
      <c r="G27" s="71"/>
      <c r="H27" s="71"/>
      <c r="I27" s="71"/>
      <c r="J27" s="71"/>
      <c r="K27" s="71"/>
    </row>
    <row r="28" spans="1:11">
      <c r="B28" s="71"/>
      <c r="C28" s="71"/>
      <c r="D28" s="71"/>
      <c r="E28" s="71"/>
      <c r="F28" s="71"/>
      <c r="G28" s="71"/>
      <c r="H28" s="71"/>
      <c r="I28" s="71"/>
      <c r="J28" s="71"/>
      <c r="K28" s="71"/>
    </row>
    <row r="29" spans="1:11">
      <c r="B29" s="71"/>
      <c r="C29" s="71"/>
      <c r="D29" s="71"/>
      <c r="E29" s="71"/>
      <c r="F29" s="71"/>
      <c r="G29" s="71"/>
      <c r="H29" s="71"/>
      <c r="I29" s="71"/>
      <c r="J29" s="71"/>
      <c r="K29" s="71"/>
    </row>
    <row r="30" spans="1:11">
      <c r="B30" s="516"/>
      <c r="C30" s="516"/>
      <c r="D30" s="516"/>
      <c r="E30" s="516"/>
      <c r="F30" s="516"/>
      <c r="G30" s="516"/>
      <c r="H30" s="516"/>
      <c r="I30" s="516"/>
      <c r="J30" s="516"/>
      <c r="K30" s="516"/>
    </row>
    <row r="31" spans="1:11">
      <c r="B31" s="516"/>
      <c r="C31" s="516"/>
      <c r="D31" s="516"/>
      <c r="E31" s="516"/>
      <c r="F31" s="516"/>
      <c r="G31" s="516"/>
      <c r="H31" s="516"/>
      <c r="I31" s="516"/>
      <c r="J31" s="516"/>
      <c r="K31" s="516"/>
    </row>
    <row r="32" spans="1:11">
      <c r="B32" s="516"/>
      <c r="C32" s="516"/>
      <c r="D32" s="516"/>
      <c r="E32" s="516"/>
      <c r="F32" s="516"/>
      <c r="G32" s="516"/>
      <c r="H32" s="516"/>
      <c r="I32" s="516"/>
      <c r="J32" s="516"/>
      <c r="K32" s="516"/>
    </row>
    <row r="33" spans="2:11">
      <c r="B33" s="516"/>
      <c r="C33" s="516"/>
      <c r="D33" s="516"/>
      <c r="E33" s="516"/>
      <c r="F33" s="516"/>
      <c r="G33" s="516"/>
      <c r="H33" s="516"/>
      <c r="I33" s="516"/>
      <c r="J33" s="516"/>
      <c r="K33" s="516"/>
    </row>
    <row r="34" spans="2:11">
      <c r="B34" s="516"/>
      <c r="C34" s="516"/>
      <c r="D34" s="516"/>
      <c r="E34" s="516"/>
      <c r="F34" s="516"/>
      <c r="G34" s="516"/>
      <c r="H34" s="516"/>
      <c r="I34" s="516"/>
      <c r="J34" s="516"/>
      <c r="K34" s="516"/>
    </row>
    <row r="35" spans="2:11">
      <c r="B35" s="516"/>
      <c r="C35" s="516"/>
      <c r="D35" s="516"/>
      <c r="E35" s="516"/>
      <c r="F35" s="516"/>
      <c r="G35" s="516"/>
      <c r="H35" s="516"/>
      <c r="I35" s="516"/>
      <c r="J35" s="516"/>
      <c r="K35" s="516"/>
    </row>
    <row r="36" spans="2:11">
      <c r="B36" s="516"/>
      <c r="C36" s="516"/>
      <c r="D36" s="516"/>
      <c r="E36" s="516"/>
      <c r="F36" s="516"/>
      <c r="G36" s="516"/>
      <c r="H36" s="516"/>
      <c r="I36" s="516"/>
      <c r="J36" s="516"/>
      <c r="K36" s="516"/>
    </row>
    <row r="37" spans="2:11">
      <c r="B37" s="516"/>
      <c r="C37" s="516"/>
      <c r="D37" s="516"/>
      <c r="E37" s="516"/>
      <c r="F37" s="516"/>
      <c r="G37" s="516"/>
      <c r="H37" s="516"/>
      <c r="I37" s="516"/>
      <c r="J37" s="516"/>
      <c r="K37" s="516"/>
    </row>
    <row r="38" spans="2:11">
      <c r="B38" s="516"/>
      <c r="C38" s="516"/>
      <c r="D38" s="516"/>
      <c r="E38" s="516"/>
      <c r="F38" s="516"/>
      <c r="G38" s="516"/>
      <c r="H38" s="516"/>
      <c r="I38" s="516"/>
      <c r="J38" s="516"/>
      <c r="K38" s="516"/>
    </row>
    <row r="39" spans="2:11">
      <c r="B39" s="516"/>
      <c r="C39" s="516"/>
      <c r="D39" s="516"/>
      <c r="E39" s="516"/>
      <c r="F39" s="516"/>
      <c r="G39" s="516"/>
      <c r="H39" s="516"/>
      <c r="I39" s="516"/>
      <c r="J39" s="516"/>
      <c r="K39" s="516"/>
    </row>
    <row r="40" spans="2:11">
      <c r="B40" s="516"/>
      <c r="C40" s="516"/>
      <c r="D40" s="516"/>
      <c r="E40" s="516"/>
      <c r="F40" s="516"/>
      <c r="G40" s="516"/>
      <c r="H40" s="516"/>
      <c r="I40" s="516"/>
      <c r="J40" s="516"/>
      <c r="K40" s="516"/>
    </row>
    <row r="41" spans="2:11">
      <c r="B41" s="516"/>
      <c r="C41" s="516"/>
      <c r="D41" s="516"/>
      <c r="E41" s="516"/>
      <c r="F41" s="516"/>
      <c r="G41" s="516"/>
      <c r="H41" s="516"/>
      <c r="I41" s="516"/>
      <c r="J41" s="516"/>
      <c r="K41" s="516"/>
    </row>
    <row r="42" spans="2:11">
      <c r="B42" s="516"/>
      <c r="C42" s="516"/>
      <c r="D42" s="516"/>
      <c r="E42" s="516"/>
      <c r="F42" s="516"/>
      <c r="G42" s="516"/>
      <c r="H42" s="516"/>
      <c r="I42" s="516"/>
      <c r="J42" s="516"/>
      <c r="K42" s="516"/>
    </row>
    <row r="43" spans="2:11">
      <c r="B43" s="71"/>
      <c r="C43" s="71"/>
      <c r="D43" s="71"/>
      <c r="E43" s="71"/>
      <c r="F43" s="71"/>
      <c r="G43" s="71"/>
      <c r="H43" s="71"/>
      <c r="I43" s="71"/>
      <c r="J43" s="71"/>
      <c r="K43" s="71"/>
    </row>
  </sheetData>
  <mergeCells count="6">
    <mergeCell ref="A24:J24"/>
    <mergeCell ref="A1:J1"/>
    <mergeCell ref="A3:A4"/>
    <mergeCell ref="B3:F3"/>
    <mergeCell ref="G3:K3"/>
    <mergeCell ref="A23:J2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U24"/>
  <sheetViews>
    <sheetView zoomScale="115" zoomScaleNormal="115" workbookViewId="0">
      <selection activeCell="B7" sqref="B7"/>
    </sheetView>
  </sheetViews>
  <sheetFormatPr defaultColWidth="8.85546875" defaultRowHeight="15"/>
  <cols>
    <col min="1" max="1" width="12.140625" style="21" bestFit="1" customWidth="1"/>
    <col min="2" max="2" width="8.85546875" style="21" customWidth="1"/>
    <col min="3" max="3" width="10.5703125" style="21" customWidth="1"/>
    <col min="4" max="4" width="10.28515625" style="21" customWidth="1"/>
    <col min="5" max="5" width="9.42578125" style="21" bestFit="1" customWidth="1"/>
    <col min="6" max="6" width="9.140625" style="21" bestFit="1" customWidth="1"/>
    <col min="7" max="7" width="10.7109375" style="21" bestFit="1" customWidth="1"/>
    <col min="8" max="8" width="9.140625" style="21" bestFit="1" customWidth="1"/>
    <col min="9" max="9" width="9.42578125" style="21" bestFit="1" customWidth="1"/>
    <col min="10" max="10" width="9.140625" style="21" bestFit="1" customWidth="1"/>
    <col min="11" max="11" width="10.7109375" style="21" bestFit="1" customWidth="1"/>
    <col min="12" max="12" width="9.140625" style="21" customWidth="1"/>
    <col min="13" max="13" width="8.5703125" style="21" bestFit="1" customWidth="1"/>
    <col min="14" max="14" width="9.140625" style="21" bestFit="1" customWidth="1"/>
    <col min="15" max="15" width="9.42578125" style="21" bestFit="1" customWidth="1"/>
    <col min="16" max="16" width="9.140625" style="21" bestFit="1" customWidth="1"/>
    <col min="17" max="17" width="9.42578125" style="21" bestFit="1" customWidth="1"/>
    <col min="18" max="18" width="9.140625" style="21" bestFit="1" customWidth="1"/>
    <col min="19" max="19" width="4.7109375" style="21" bestFit="1" customWidth="1"/>
    <col min="20" max="16384" width="8.85546875" style="21"/>
  </cols>
  <sheetData>
    <row r="1" spans="1:18">
      <c r="A1" s="1179" t="s">
        <v>627</v>
      </c>
      <c r="B1" s="1179"/>
      <c r="C1" s="1179"/>
      <c r="D1" s="1179"/>
      <c r="E1" s="1179"/>
      <c r="F1" s="1179"/>
      <c r="G1" s="1179"/>
      <c r="H1" s="1179"/>
      <c r="I1" s="1179"/>
      <c r="J1" s="1179"/>
      <c r="K1" s="1179"/>
      <c r="L1" s="1179"/>
      <c r="M1" s="1179"/>
      <c r="N1" s="1179"/>
      <c r="O1" s="1179"/>
      <c r="P1" s="1179"/>
      <c r="Q1" s="1179"/>
    </row>
    <row r="2" spans="1:18" s="22" customFormat="1">
      <c r="A2" s="1328" t="s">
        <v>70</v>
      </c>
      <c r="B2" s="1328" t="s">
        <v>111</v>
      </c>
      <c r="C2" s="1331" t="s">
        <v>628</v>
      </c>
      <c r="D2" s="1332"/>
      <c r="E2" s="1332"/>
      <c r="F2" s="1333"/>
      <c r="G2" s="1331" t="s">
        <v>88</v>
      </c>
      <c r="H2" s="1332"/>
      <c r="I2" s="1332"/>
      <c r="J2" s="1332"/>
      <c r="K2" s="1332"/>
      <c r="L2" s="1332"/>
      <c r="M2" s="1332"/>
      <c r="N2" s="1333"/>
      <c r="O2" s="1331" t="s">
        <v>89</v>
      </c>
      <c r="P2" s="1332"/>
      <c r="Q2" s="1332"/>
      <c r="R2" s="1333"/>
    </row>
    <row r="3" spans="1:18" s="22" customFormat="1" ht="40.5" customHeight="1">
      <c r="A3" s="1329"/>
      <c r="B3" s="1329"/>
      <c r="C3" s="1400" t="s">
        <v>629</v>
      </c>
      <c r="D3" s="1401"/>
      <c r="E3" s="1334" t="s">
        <v>630</v>
      </c>
      <c r="F3" s="1335"/>
      <c r="G3" s="1400" t="s">
        <v>629</v>
      </c>
      <c r="H3" s="1401"/>
      <c r="I3" s="1400" t="s">
        <v>1087</v>
      </c>
      <c r="J3" s="1401"/>
      <c r="K3" s="1400" t="s">
        <v>53</v>
      </c>
      <c r="L3" s="1401"/>
      <c r="M3" s="1334" t="s">
        <v>631</v>
      </c>
      <c r="N3" s="1335"/>
      <c r="O3" s="1400" t="s">
        <v>632</v>
      </c>
      <c r="P3" s="1401"/>
      <c r="Q3" s="1400" t="s">
        <v>633</v>
      </c>
      <c r="R3" s="1401"/>
    </row>
    <row r="4" spans="1:18" s="22" customFormat="1" ht="47.25" customHeight="1">
      <c r="A4" s="1330"/>
      <c r="B4" s="1330"/>
      <c r="C4" s="398" t="s">
        <v>577</v>
      </c>
      <c r="D4" s="442" t="s">
        <v>634</v>
      </c>
      <c r="E4" s="398" t="s">
        <v>577</v>
      </c>
      <c r="F4" s="442" t="s">
        <v>580</v>
      </c>
      <c r="G4" s="442" t="s">
        <v>542</v>
      </c>
      <c r="H4" s="442" t="s">
        <v>634</v>
      </c>
      <c r="I4" s="442" t="s">
        <v>542</v>
      </c>
      <c r="J4" s="442" t="s">
        <v>634</v>
      </c>
      <c r="K4" s="442" t="s">
        <v>542</v>
      </c>
      <c r="L4" s="442" t="s">
        <v>634</v>
      </c>
      <c r="M4" s="442" t="s">
        <v>542</v>
      </c>
      <c r="N4" s="442" t="s">
        <v>580</v>
      </c>
      <c r="O4" s="398" t="s">
        <v>578</v>
      </c>
      <c r="P4" s="442" t="s">
        <v>634</v>
      </c>
      <c r="Q4" s="398" t="s">
        <v>577</v>
      </c>
      <c r="R4" s="442" t="s">
        <v>580</v>
      </c>
    </row>
    <row r="5" spans="1:18" s="23" customFormat="1">
      <c r="A5" s="399" t="s">
        <v>58</v>
      </c>
      <c r="B5" s="400">
        <v>243</v>
      </c>
      <c r="C5" s="405">
        <v>4917740</v>
      </c>
      <c r="D5" s="405">
        <v>100045.43150000001</v>
      </c>
      <c r="E5" s="405">
        <v>32362</v>
      </c>
      <c r="F5" s="405">
        <v>682.81</v>
      </c>
      <c r="G5" s="405">
        <v>17217124</v>
      </c>
      <c r="H5" s="405">
        <v>351817.75828999997</v>
      </c>
      <c r="I5" s="405">
        <v>444761</v>
      </c>
      <c r="J5" s="405">
        <v>8993.3808099999987</v>
      </c>
      <c r="K5" s="405">
        <f>SUM(G5,I5)</f>
        <v>17661885</v>
      </c>
      <c r="L5" s="405">
        <f>SUM(H5,J5)</f>
        <v>360811.13909999997</v>
      </c>
      <c r="M5" s="405">
        <v>77036</v>
      </c>
      <c r="N5" s="405">
        <v>1592.8485949999999</v>
      </c>
      <c r="O5" s="405">
        <v>0</v>
      </c>
      <c r="P5" s="405">
        <v>0</v>
      </c>
      <c r="Q5" s="405">
        <v>0</v>
      </c>
      <c r="R5" s="405">
        <v>0</v>
      </c>
    </row>
    <row r="6" spans="1:18" s="23" customFormat="1">
      <c r="A6" s="399" t="s">
        <v>61</v>
      </c>
      <c r="B6" s="400">
        <f>SUM(B7:B20)</f>
        <v>224</v>
      </c>
      <c r="C6" s="400">
        <f>SUM(C7:C20)</f>
        <v>1350223</v>
      </c>
      <c r="D6" s="400">
        <f>SUM(D7:D20)</f>
        <v>27584.184800000003</v>
      </c>
      <c r="E6" s="405">
        <f>E15</f>
        <v>8836</v>
      </c>
      <c r="F6" s="405">
        <f>F15</f>
        <v>190.53519791999997</v>
      </c>
      <c r="G6" s="400">
        <f>SUM(G7:G15)</f>
        <v>3979309</v>
      </c>
      <c r="H6" s="400">
        <f>SUM(H7:H15)</f>
        <v>81317.987406</v>
      </c>
      <c r="I6" s="400">
        <f>SUM(I7:I15)</f>
        <v>41368</v>
      </c>
      <c r="J6" s="400">
        <f>SUM(J7:J15)</f>
        <v>854.3618295</v>
      </c>
      <c r="K6" s="405">
        <f t="shared" ref="K6:L15" si="0">SUM(G6,I6)</f>
        <v>4020677</v>
      </c>
      <c r="L6" s="405">
        <f t="shared" si="0"/>
        <v>82172.349235500005</v>
      </c>
      <c r="M6" s="405">
        <f>M15</f>
        <v>43744</v>
      </c>
      <c r="N6" s="405">
        <f>N15</f>
        <v>907.98</v>
      </c>
      <c r="O6" s="400">
        <f>SUM(O7:O15)</f>
        <v>0</v>
      </c>
      <c r="P6" s="400">
        <f>SUM(P7:P15)</f>
        <v>0</v>
      </c>
      <c r="Q6" s="405">
        <f>Q15</f>
        <v>0</v>
      </c>
      <c r="R6" s="405">
        <f>R15</f>
        <v>0</v>
      </c>
    </row>
    <row r="7" spans="1:18" s="22" customFormat="1">
      <c r="A7" s="517" t="s">
        <v>60</v>
      </c>
      <c r="B7" s="410">
        <v>17</v>
      </c>
      <c r="C7" s="411">
        <v>117135</v>
      </c>
      <c r="D7" s="411">
        <v>2394.6293999999998</v>
      </c>
      <c r="E7" s="411">
        <v>22389</v>
      </c>
      <c r="F7" s="411">
        <v>486.62</v>
      </c>
      <c r="G7" s="411">
        <v>462985</v>
      </c>
      <c r="H7" s="411">
        <v>9422.5825435000006</v>
      </c>
      <c r="I7" s="411">
        <v>15183</v>
      </c>
      <c r="J7" s="411">
        <v>311.16420499999998</v>
      </c>
      <c r="K7" s="411">
        <f t="shared" si="0"/>
        <v>478168</v>
      </c>
      <c r="L7" s="411">
        <f t="shared" si="0"/>
        <v>9733.7467484999997</v>
      </c>
      <c r="M7" s="411">
        <v>51482</v>
      </c>
      <c r="N7" s="411">
        <v>1075.917142</v>
      </c>
      <c r="O7" s="411">
        <v>0</v>
      </c>
      <c r="P7" s="411">
        <v>0</v>
      </c>
      <c r="Q7" s="411">
        <v>0</v>
      </c>
      <c r="R7" s="411">
        <v>0</v>
      </c>
    </row>
    <row r="8" spans="1:18" s="22" customFormat="1">
      <c r="A8" s="517" t="s">
        <v>59</v>
      </c>
      <c r="B8" s="410">
        <v>18</v>
      </c>
      <c r="C8" s="411">
        <v>92350</v>
      </c>
      <c r="D8" s="411">
        <v>1898.7684999999999</v>
      </c>
      <c r="E8" s="411">
        <v>32071</v>
      </c>
      <c r="F8" s="411">
        <v>695.75</v>
      </c>
      <c r="G8" s="411">
        <v>578495</v>
      </c>
      <c r="H8" s="411">
        <v>11886.515042499999</v>
      </c>
      <c r="I8" s="411">
        <v>15039</v>
      </c>
      <c r="J8" s="411">
        <v>311.33295500000003</v>
      </c>
      <c r="K8" s="411">
        <f t="shared" si="0"/>
        <v>593534</v>
      </c>
      <c r="L8" s="411">
        <f t="shared" si="0"/>
        <v>12197.847997499999</v>
      </c>
      <c r="M8" s="411">
        <v>66972</v>
      </c>
      <c r="N8" s="411">
        <v>1409.258315</v>
      </c>
      <c r="O8" s="411">
        <v>0</v>
      </c>
      <c r="P8" s="411">
        <v>0</v>
      </c>
      <c r="Q8" s="411">
        <v>0</v>
      </c>
      <c r="R8" s="411">
        <v>0</v>
      </c>
    </row>
    <row r="9" spans="1:18" s="22" customFormat="1">
      <c r="A9" s="517" t="s">
        <v>310</v>
      </c>
      <c r="B9" s="410">
        <v>22</v>
      </c>
      <c r="C9" s="411">
        <v>207052</v>
      </c>
      <c r="D9" s="411">
        <v>4307.7403000000004</v>
      </c>
      <c r="E9" s="411">
        <v>25260</v>
      </c>
      <c r="F9" s="411">
        <v>525.02</v>
      </c>
      <c r="G9" s="411">
        <v>803319</v>
      </c>
      <c r="H9" s="411">
        <v>16565.8619755</v>
      </c>
      <c r="I9" s="411">
        <v>10776</v>
      </c>
      <c r="J9" s="411">
        <v>224.1784285</v>
      </c>
      <c r="K9" s="411">
        <f t="shared" si="0"/>
        <v>814095</v>
      </c>
      <c r="L9" s="411">
        <f t="shared" si="0"/>
        <v>16790.040403999999</v>
      </c>
      <c r="M9" s="411">
        <v>102803</v>
      </c>
      <c r="N9" s="411">
        <v>2140.6479290000002</v>
      </c>
      <c r="O9" s="411">
        <v>0</v>
      </c>
      <c r="P9" s="411">
        <v>0</v>
      </c>
      <c r="Q9" s="411">
        <v>0</v>
      </c>
      <c r="R9" s="411">
        <v>0</v>
      </c>
    </row>
    <row r="10" spans="1:18" s="22" customFormat="1">
      <c r="A10" s="517" t="s">
        <v>356</v>
      </c>
      <c r="B10" s="410">
        <v>23</v>
      </c>
      <c r="C10" s="411">
        <v>193802</v>
      </c>
      <c r="D10" s="411">
        <v>4082.3089</v>
      </c>
      <c r="E10" s="411">
        <v>19100</v>
      </c>
      <c r="F10" s="411">
        <v>399.24</v>
      </c>
      <c r="G10" s="411">
        <v>554091</v>
      </c>
      <c r="H10" s="411">
        <v>11472.240318</v>
      </c>
      <c r="I10" s="411">
        <v>266</v>
      </c>
      <c r="J10" s="411">
        <v>5.5394410000000001</v>
      </c>
      <c r="K10" s="411">
        <f t="shared" si="0"/>
        <v>554357</v>
      </c>
      <c r="L10" s="411">
        <f t="shared" si="0"/>
        <v>11477.779759000001</v>
      </c>
      <c r="M10" s="411">
        <v>59617</v>
      </c>
      <c r="N10" s="411">
        <v>1260.5093810000001</v>
      </c>
      <c r="O10" s="411">
        <v>0</v>
      </c>
      <c r="P10" s="411">
        <v>0</v>
      </c>
      <c r="Q10" s="411">
        <v>0</v>
      </c>
      <c r="R10" s="411">
        <v>0</v>
      </c>
    </row>
    <row r="11" spans="1:18" s="22" customFormat="1">
      <c r="A11" s="517" t="s">
        <v>384</v>
      </c>
      <c r="B11" s="410">
        <v>21</v>
      </c>
      <c r="C11" s="411">
        <v>65635</v>
      </c>
      <c r="D11" s="411">
        <v>1339.4258</v>
      </c>
      <c r="E11" s="411">
        <v>5447</v>
      </c>
      <c r="F11" s="411">
        <v>112.12</v>
      </c>
      <c r="G11" s="411">
        <v>434184</v>
      </c>
      <c r="H11" s="411">
        <v>8835.9610809999995</v>
      </c>
      <c r="I11" s="411">
        <v>3</v>
      </c>
      <c r="J11" s="411">
        <v>6.1254500000000003E-2</v>
      </c>
      <c r="K11" s="411">
        <f t="shared" si="0"/>
        <v>434187</v>
      </c>
      <c r="L11" s="411">
        <f t="shared" si="0"/>
        <v>8836.0223354999998</v>
      </c>
      <c r="M11" s="411">
        <v>65722</v>
      </c>
      <c r="N11" s="411">
        <v>1365.007214</v>
      </c>
      <c r="O11" s="411">
        <v>0</v>
      </c>
      <c r="P11" s="411">
        <v>0</v>
      </c>
      <c r="Q11" s="411">
        <v>0</v>
      </c>
      <c r="R11" s="411">
        <v>0</v>
      </c>
    </row>
    <row r="12" spans="1:18" s="22" customFormat="1">
      <c r="A12" s="517" t="s">
        <v>386</v>
      </c>
      <c r="B12" s="410">
        <v>22</v>
      </c>
      <c r="C12" s="411">
        <v>30352</v>
      </c>
      <c r="D12" s="411">
        <v>618.83699999999999</v>
      </c>
      <c r="E12" s="411">
        <v>1750</v>
      </c>
      <c r="F12" s="411">
        <v>37.548735000000001</v>
      </c>
      <c r="G12" s="411">
        <v>389067</v>
      </c>
      <c r="H12" s="411">
        <v>7966.1150095000003</v>
      </c>
      <c r="I12" s="411">
        <v>101</v>
      </c>
      <c r="J12" s="411">
        <v>2.0855454999999998</v>
      </c>
      <c r="K12" s="411">
        <f t="shared" si="0"/>
        <v>389168</v>
      </c>
      <c r="L12" s="411">
        <f t="shared" si="0"/>
        <v>7968.2005550000003</v>
      </c>
      <c r="M12" s="411">
        <v>45801</v>
      </c>
      <c r="N12" s="411">
        <v>953.33148700000004</v>
      </c>
      <c r="O12" s="411">
        <v>0</v>
      </c>
      <c r="P12" s="411">
        <v>0</v>
      </c>
      <c r="Q12" s="411">
        <v>0</v>
      </c>
      <c r="R12" s="411">
        <v>0</v>
      </c>
    </row>
    <row r="13" spans="1:18" s="22" customFormat="1">
      <c r="A13" s="517" t="s">
        <v>392</v>
      </c>
      <c r="B13" s="410">
        <v>20</v>
      </c>
      <c r="C13" s="411">
        <v>94839</v>
      </c>
      <c r="D13" s="411">
        <v>1949.4366</v>
      </c>
      <c r="E13" s="411">
        <v>1252</v>
      </c>
      <c r="F13" s="411">
        <v>27.858011319999999</v>
      </c>
      <c r="G13" s="411">
        <v>294052</v>
      </c>
      <c r="H13" s="411">
        <v>5969.361613</v>
      </c>
      <c r="I13" s="411">
        <v>0</v>
      </c>
      <c r="J13" s="411">
        <v>0</v>
      </c>
      <c r="K13" s="411">
        <f t="shared" si="0"/>
        <v>294052</v>
      </c>
      <c r="L13" s="411">
        <f t="shared" si="0"/>
        <v>5969.361613</v>
      </c>
      <c r="M13" s="411">
        <v>58345</v>
      </c>
      <c r="N13" s="411">
        <v>1205.0731149999999</v>
      </c>
      <c r="O13" s="411">
        <v>0</v>
      </c>
      <c r="P13" s="411">
        <v>0</v>
      </c>
      <c r="Q13" s="411">
        <v>0</v>
      </c>
      <c r="R13" s="411">
        <v>0</v>
      </c>
    </row>
    <row r="14" spans="1:18" s="22" customFormat="1">
      <c r="A14" s="517" t="s">
        <v>396</v>
      </c>
      <c r="B14" s="410">
        <v>20</v>
      </c>
      <c r="C14" s="417">
        <v>161510</v>
      </c>
      <c r="D14" s="411">
        <v>3284.346</v>
      </c>
      <c r="E14" s="411">
        <v>3595</v>
      </c>
      <c r="F14" s="411">
        <v>76.399231819999997</v>
      </c>
      <c r="G14" s="417">
        <v>187096</v>
      </c>
      <c r="H14" s="411">
        <v>3735.2176589999999</v>
      </c>
      <c r="I14" s="411">
        <v>0</v>
      </c>
      <c r="J14" s="411">
        <v>0</v>
      </c>
      <c r="K14" s="411">
        <f t="shared" si="0"/>
        <v>187096</v>
      </c>
      <c r="L14" s="411">
        <f t="shared" si="0"/>
        <v>3735.2176589999999</v>
      </c>
      <c r="M14" s="411">
        <v>57654</v>
      </c>
      <c r="N14" s="411">
        <v>1185.809375</v>
      </c>
      <c r="O14" s="411">
        <v>0</v>
      </c>
      <c r="P14" s="411">
        <v>0</v>
      </c>
      <c r="Q14" s="411">
        <v>0</v>
      </c>
      <c r="R14" s="411">
        <v>0</v>
      </c>
    </row>
    <row r="15" spans="1:18" s="22" customFormat="1">
      <c r="A15" s="517" t="s">
        <v>457</v>
      </c>
      <c r="B15" s="410">
        <v>22</v>
      </c>
      <c r="C15" s="411">
        <v>53589</v>
      </c>
      <c r="D15" s="411">
        <v>1087.3935000000001</v>
      </c>
      <c r="E15" s="411">
        <v>8836</v>
      </c>
      <c r="F15" s="411">
        <v>190.53519791999997</v>
      </c>
      <c r="G15" s="411">
        <v>276020</v>
      </c>
      <c r="H15" s="411">
        <v>5464.1321639999996</v>
      </c>
      <c r="I15" s="411">
        <v>0</v>
      </c>
      <c r="J15" s="411">
        <v>0</v>
      </c>
      <c r="K15" s="411">
        <f t="shared" si="0"/>
        <v>276020</v>
      </c>
      <c r="L15" s="411">
        <f t="shared" si="0"/>
        <v>5464.1321639999996</v>
      </c>
      <c r="M15" s="411">
        <v>43744</v>
      </c>
      <c r="N15" s="411">
        <v>907.98</v>
      </c>
      <c r="O15" s="411">
        <v>0</v>
      </c>
      <c r="P15" s="411">
        <v>0</v>
      </c>
      <c r="Q15" s="411">
        <v>0</v>
      </c>
      <c r="R15" s="411">
        <v>0</v>
      </c>
    </row>
    <row r="16" spans="1:18" s="22" customFormat="1">
      <c r="A16" s="517" t="s">
        <v>1095</v>
      </c>
      <c r="B16" s="410">
        <v>20</v>
      </c>
      <c r="C16" s="411">
        <v>55786</v>
      </c>
      <c r="D16" s="411">
        <v>1100.9360999999999</v>
      </c>
      <c r="E16" s="411">
        <v>8649</v>
      </c>
      <c r="F16" s="411">
        <v>185.67546017999999</v>
      </c>
      <c r="G16" s="411">
        <v>207331</v>
      </c>
      <c r="H16" s="411">
        <v>4093.5442210000001</v>
      </c>
      <c r="I16" s="411">
        <v>0</v>
      </c>
      <c r="J16" s="411">
        <v>0</v>
      </c>
      <c r="K16" s="411">
        <f t="shared" ref="K16" si="1">SUM(G16,I16)</f>
        <v>207331</v>
      </c>
      <c r="L16" s="411">
        <f t="shared" ref="L16" si="2">SUM(H16,J16)</f>
        <v>4093.5442210000001</v>
      </c>
      <c r="M16" s="411">
        <v>38703</v>
      </c>
      <c r="N16" s="411">
        <v>782.36019999999996</v>
      </c>
      <c r="O16" s="411">
        <v>0</v>
      </c>
      <c r="P16" s="411">
        <v>0</v>
      </c>
      <c r="Q16" s="411">
        <v>0</v>
      </c>
      <c r="R16" s="411">
        <v>0</v>
      </c>
    </row>
    <row r="17" spans="1:21" s="22" customFormat="1">
      <c r="A17" s="517" t="s">
        <v>1184</v>
      </c>
      <c r="B17" s="410">
        <v>19</v>
      </c>
      <c r="C17" s="411">
        <v>278173</v>
      </c>
      <c r="D17" s="411">
        <v>5520.3626999999997</v>
      </c>
      <c r="E17" s="411">
        <v>11551</v>
      </c>
      <c r="F17" s="411">
        <v>237.38</v>
      </c>
      <c r="G17" s="411">
        <v>346598</v>
      </c>
      <c r="H17" s="411">
        <v>6734.7814850000004</v>
      </c>
      <c r="I17" s="411">
        <v>0</v>
      </c>
      <c r="J17" s="411">
        <v>0</v>
      </c>
      <c r="K17" s="411">
        <v>346598</v>
      </c>
      <c r="L17" s="411">
        <v>6734.7814850000004</v>
      </c>
      <c r="M17" s="411">
        <v>48752</v>
      </c>
      <c r="N17" s="411">
        <v>952.07420000000002</v>
      </c>
      <c r="O17" s="411">
        <v>0</v>
      </c>
      <c r="P17" s="411">
        <v>0</v>
      </c>
      <c r="Q17" s="411">
        <v>0</v>
      </c>
      <c r="R17" s="411">
        <v>0</v>
      </c>
    </row>
    <row r="18" spans="1:21" s="22" customFormat="1">
      <c r="A18" s="495" t="s">
        <v>36</v>
      </c>
      <c r="B18" s="21"/>
      <c r="C18" s="21"/>
      <c r="D18" s="21"/>
      <c r="E18" s="21"/>
      <c r="F18" s="21"/>
      <c r="G18" s="21"/>
      <c r="H18" s="21"/>
      <c r="I18" s="21"/>
      <c r="J18" s="21"/>
      <c r="K18" s="21"/>
      <c r="L18" s="21"/>
      <c r="M18" s="21"/>
      <c r="N18" s="21"/>
      <c r="O18" s="21"/>
      <c r="P18" s="21"/>
      <c r="Q18" s="21"/>
      <c r="R18" s="21"/>
      <c r="S18" s="21"/>
      <c r="T18" s="21"/>
      <c r="U18" s="21"/>
    </row>
    <row r="19" spans="1:21" s="22" customFormat="1" ht="15" customHeight="1">
      <c r="A19" s="1215" t="s">
        <v>635</v>
      </c>
      <c r="B19" s="1215"/>
      <c r="C19" s="1215"/>
      <c r="D19" s="1215"/>
      <c r="E19" s="1215"/>
      <c r="F19" s="1215"/>
      <c r="G19" s="1215"/>
      <c r="H19" s="1215"/>
      <c r="I19" s="1215"/>
      <c r="J19" s="1215"/>
      <c r="K19" s="1215"/>
      <c r="L19" s="1215"/>
      <c r="M19" s="1215"/>
      <c r="N19" s="1215"/>
      <c r="O19" s="1215"/>
      <c r="P19" s="1215"/>
      <c r="Q19" s="1215"/>
      <c r="R19" s="1215"/>
      <c r="S19" s="21"/>
      <c r="T19" s="21"/>
      <c r="U19" s="21"/>
    </row>
    <row r="20" spans="1:21" ht="15" customHeight="1">
      <c r="A20" s="1215" t="s">
        <v>636</v>
      </c>
      <c r="B20" s="1215"/>
      <c r="C20" s="1215"/>
      <c r="D20" s="1215"/>
      <c r="E20" s="1215"/>
      <c r="F20" s="1215"/>
      <c r="G20" s="1215"/>
      <c r="H20" s="1215"/>
      <c r="I20" s="1215"/>
      <c r="J20" s="1215"/>
      <c r="K20" s="1215"/>
      <c r="L20" s="1215"/>
      <c r="M20" s="1215"/>
      <c r="N20" s="1215"/>
      <c r="O20" s="1215"/>
      <c r="P20" s="1215"/>
      <c r="Q20" s="1215"/>
      <c r="R20" s="1215"/>
    </row>
    <row r="21" spans="1:21" ht="15" customHeight="1">
      <c r="A21" s="1215" t="s">
        <v>637</v>
      </c>
      <c r="B21" s="1215"/>
      <c r="C21" s="1215"/>
      <c r="D21" s="1215"/>
      <c r="E21" s="1215"/>
      <c r="F21" s="1215"/>
      <c r="G21" s="1215"/>
      <c r="H21" s="1215"/>
      <c r="I21" s="1215"/>
      <c r="J21" s="1215"/>
      <c r="K21" s="1215"/>
      <c r="L21" s="1215"/>
      <c r="M21" s="1215"/>
      <c r="N21" s="1215"/>
      <c r="O21" s="1215"/>
      <c r="P21" s="1215"/>
      <c r="Q21" s="1215"/>
      <c r="R21" s="1215"/>
    </row>
    <row r="22" spans="1:21" ht="15" customHeight="1">
      <c r="A22" s="1215" t="s">
        <v>638</v>
      </c>
      <c r="B22" s="1215"/>
      <c r="C22" s="1215"/>
      <c r="D22" s="1215"/>
      <c r="E22" s="1215"/>
      <c r="F22" s="1215"/>
      <c r="G22" s="1215"/>
      <c r="H22" s="1215"/>
      <c r="I22" s="1215"/>
      <c r="J22" s="1215"/>
      <c r="K22" s="1215"/>
      <c r="L22" s="1215"/>
      <c r="M22" s="1215"/>
      <c r="N22" s="1215"/>
      <c r="O22" s="1215"/>
      <c r="P22" s="1215"/>
      <c r="Q22" s="1215"/>
      <c r="R22" s="1215"/>
    </row>
    <row r="23" spans="1:21" ht="15" customHeight="1">
      <c r="A23" s="1215" t="s">
        <v>1173</v>
      </c>
      <c r="B23" s="1215"/>
      <c r="C23" s="1215"/>
      <c r="D23" s="1215"/>
      <c r="E23" s="1215"/>
      <c r="F23" s="1215"/>
      <c r="G23" s="1215"/>
      <c r="H23" s="1215"/>
      <c r="I23" s="1215"/>
      <c r="J23" s="1215"/>
      <c r="K23" s="1215"/>
      <c r="L23" s="1215"/>
      <c r="M23" s="1215"/>
      <c r="N23" s="1215"/>
      <c r="O23" s="1215"/>
      <c r="P23" s="1215"/>
      <c r="Q23" s="1215"/>
      <c r="R23" s="1215"/>
    </row>
    <row r="24" spans="1:21" ht="15" customHeight="1">
      <c r="A24" s="1215" t="s">
        <v>639</v>
      </c>
      <c r="B24" s="1215"/>
      <c r="C24" s="1215"/>
      <c r="D24" s="1215"/>
      <c r="E24" s="1215"/>
      <c r="F24" s="1215"/>
      <c r="G24" s="1215"/>
      <c r="H24" s="1215"/>
      <c r="I24" s="1215"/>
      <c r="J24" s="1215"/>
      <c r="K24" s="1215"/>
      <c r="L24" s="1215"/>
      <c r="M24" s="1215"/>
      <c r="N24" s="1215"/>
      <c r="O24" s="1215"/>
      <c r="P24" s="1215"/>
      <c r="Q24" s="1215"/>
      <c r="R24" s="1215"/>
    </row>
  </sheetData>
  <mergeCells count="20">
    <mergeCell ref="A21:R21"/>
    <mergeCell ref="A22:R22"/>
    <mergeCell ref="A23:R23"/>
    <mergeCell ref="A24:R24"/>
    <mergeCell ref="K3:L3"/>
    <mergeCell ref="M3:N3"/>
    <mergeCell ref="O3:P3"/>
    <mergeCell ref="Q3:R3"/>
    <mergeCell ref="A19:R19"/>
    <mergeCell ref="A20:R20"/>
    <mergeCell ref="A1:Q1"/>
    <mergeCell ref="A2:A4"/>
    <mergeCell ref="B2:B4"/>
    <mergeCell ref="C2:F2"/>
    <mergeCell ref="G2:N2"/>
    <mergeCell ref="O2:R2"/>
    <mergeCell ref="C3:D3"/>
    <mergeCell ref="E3:F3"/>
    <mergeCell ref="G3:H3"/>
    <mergeCell ref="I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28"/>
  <sheetViews>
    <sheetView zoomScaleNormal="100" workbookViewId="0">
      <selection activeCell="B8" sqref="B8"/>
    </sheetView>
  </sheetViews>
  <sheetFormatPr defaultColWidth="8.85546875" defaultRowHeight="15"/>
  <cols>
    <col min="1" max="1" width="14.7109375" style="21" bestFit="1" customWidth="1"/>
    <col min="2" max="9" width="10.5703125" style="21" bestFit="1" customWidth="1"/>
    <col min="10" max="16384" width="8.85546875" style="21"/>
  </cols>
  <sheetData>
    <row r="1" spans="1:9" ht="15" customHeight="1">
      <c r="A1" s="1223" t="s">
        <v>640</v>
      </c>
      <c r="B1" s="1223"/>
      <c r="C1" s="1223"/>
      <c r="D1" s="1223"/>
      <c r="E1" s="1223"/>
      <c r="F1" s="1223"/>
      <c r="G1" s="1223"/>
      <c r="H1" s="1223"/>
    </row>
    <row r="2" spans="1:9" ht="15" customHeight="1">
      <c r="A2" s="385"/>
      <c r="B2" s="385"/>
      <c r="C2" s="385"/>
      <c r="D2" s="385"/>
      <c r="E2" s="385"/>
      <c r="H2" s="385"/>
      <c r="I2" s="387" t="s">
        <v>613</v>
      </c>
    </row>
    <row r="3" spans="1:9" s="22" customFormat="1" ht="18" customHeight="1">
      <c r="A3" s="1336" t="s">
        <v>70</v>
      </c>
      <c r="B3" s="1331" t="s">
        <v>87</v>
      </c>
      <c r="C3" s="1332"/>
      <c r="D3" s="1402" t="s">
        <v>88</v>
      </c>
      <c r="E3" s="1402"/>
      <c r="F3" s="1402"/>
      <c r="G3" s="1402"/>
      <c r="H3" s="1332" t="s">
        <v>89</v>
      </c>
      <c r="I3" s="1333"/>
    </row>
    <row r="4" spans="1:9" s="22" customFormat="1" ht="18" customHeight="1">
      <c r="A4" s="1382"/>
      <c r="B4" s="1403" t="s">
        <v>629</v>
      </c>
      <c r="C4" s="1403"/>
      <c r="D4" s="1403" t="s">
        <v>629</v>
      </c>
      <c r="E4" s="1403"/>
      <c r="F4" s="1403" t="s">
        <v>1087</v>
      </c>
      <c r="G4" s="1403"/>
      <c r="H4" s="1331" t="s">
        <v>629</v>
      </c>
      <c r="I4" s="1333"/>
    </row>
    <row r="5" spans="1:9" s="22" customFormat="1" ht="37.5" customHeight="1">
      <c r="A5" s="1337"/>
      <c r="B5" s="442" t="s">
        <v>553</v>
      </c>
      <c r="C5" s="519" t="s">
        <v>641</v>
      </c>
      <c r="D5" s="519" t="s">
        <v>642</v>
      </c>
      <c r="E5" s="519" t="s">
        <v>641</v>
      </c>
      <c r="F5" s="519" t="s">
        <v>643</v>
      </c>
      <c r="G5" s="519" t="s">
        <v>644</v>
      </c>
      <c r="H5" s="398" t="s">
        <v>642</v>
      </c>
      <c r="I5" s="519" t="s">
        <v>641</v>
      </c>
    </row>
    <row r="6" spans="1:9" s="23" customFormat="1" ht="18" customHeight="1">
      <c r="A6" s="399" t="s">
        <v>58</v>
      </c>
      <c r="B6" s="520">
        <v>1417.0222240000001</v>
      </c>
      <c r="C6" s="520">
        <v>23.052129999999998</v>
      </c>
      <c r="D6" s="520">
        <v>1400.2491004000001</v>
      </c>
      <c r="E6" s="520">
        <v>20.05797746</v>
      </c>
      <c r="F6" s="520">
        <v>16.880000000000003</v>
      </c>
      <c r="G6" s="520">
        <v>2.5465377399999998</v>
      </c>
      <c r="H6" s="520">
        <v>0</v>
      </c>
      <c r="I6" s="520">
        <v>0</v>
      </c>
    </row>
    <row r="7" spans="1:9" s="23" customFormat="1" ht="18" customHeight="1">
      <c r="A7" s="399" t="s">
        <v>61</v>
      </c>
      <c r="B7" s="520">
        <f>SUM(B8:B24)</f>
        <v>337.10388400000005</v>
      </c>
      <c r="C7" s="520">
        <f t="shared" ref="C7:I7" si="0">SUM(C8:C24)</f>
        <v>3.2073930000000002</v>
      </c>
      <c r="D7" s="520">
        <f t="shared" si="0"/>
        <v>421.24573301999993</v>
      </c>
      <c r="E7" s="520">
        <f t="shared" si="0"/>
        <v>4.5704288599999998</v>
      </c>
      <c r="F7" s="520">
        <f t="shared" si="0"/>
        <v>2.83</v>
      </c>
      <c r="G7" s="520">
        <f t="shared" si="0"/>
        <v>2.3698597600000002</v>
      </c>
      <c r="H7" s="520">
        <f t="shared" si="0"/>
        <v>0</v>
      </c>
      <c r="I7" s="520">
        <f t="shared" si="0"/>
        <v>0</v>
      </c>
    </row>
    <row r="8" spans="1:9" s="22" customFormat="1" ht="18" customHeight="1">
      <c r="A8" s="517" t="s">
        <v>60</v>
      </c>
      <c r="B8" s="521">
        <v>100.356579</v>
      </c>
      <c r="C8" s="521">
        <v>0.31318800000000002</v>
      </c>
      <c r="D8" s="521">
        <v>78.215149999999994</v>
      </c>
      <c r="E8" s="521">
        <v>0.38330287999999996</v>
      </c>
      <c r="F8" s="521">
        <v>1.1000000000000001</v>
      </c>
      <c r="G8" s="521">
        <v>1.8539694799999999</v>
      </c>
      <c r="H8" s="521">
        <v>0</v>
      </c>
      <c r="I8" s="521">
        <v>0</v>
      </c>
    </row>
    <row r="9" spans="1:9" s="22" customFormat="1" ht="18" customHeight="1">
      <c r="A9" s="517" t="s">
        <v>59</v>
      </c>
      <c r="B9" s="521">
        <v>50.891993999999997</v>
      </c>
      <c r="C9" s="521">
        <v>4.7840000000000001E-2</v>
      </c>
      <c r="D9" s="521">
        <v>51.993362500000003</v>
      </c>
      <c r="E9" s="521">
        <v>0.26414280000000001</v>
      </c>
      <c r="F9" s="521">
        <v>1.1399999999999999</v>
      </c>
      <c r="G9" s="521">
        <v>0.50847503999999999</v>
      </c>
      <c r="H9" s="521">
        <v>0</v>
      </c>
      <c r="I9" s="521">
        <v>0</v>
      </c>
    </row>
    <row r="10" spans="1:9" s="22" customFormat="1" ht="18" customHeight="1">
      <c r="A10" s="517" t="s">
        <v>310</v>
      </c>
      <c r="B10" s="521">
        <v>40.929543000000002</v>
      </c>
      <c r="C10" s="521">
        <v>0.73642099999999999</v>
      </c>
      <c r="D10" s="521">
        <v>48.623053499999997</v>
      </c>
      <c r="E10" s="521">
        <v>0.33827309999999999</v>
      </c>
      <c r="F10" s="521">
        <v>0.56000000000000005</v>
      </c>
      <c r="G10" s="521">
        <v>0</v>
      </c>
      <c r="H10" s="521">
        <v>0</v>
      </c>
      <c r="I10" s="521">
        <v>0</v>
      </c>
    </row>
    <row r="11" spans="1:9" s="22" customFormat="1" ht="18" customHeight="1">
      <c r="A11" s="517" t="s">
        <v>356</v>
      </c>
      <c r="B11" s="521">
        <v>25.355761000000001</v>
      </c>
      <c r="C11" s="521">
        <v>3.3484E-2</v>
      </c>
      <c r="D11" s="521">
        <v>42.119494000000003</v>
      </c>
      <c r="E11" s="521">
        <v>0.17433314000000003</v>
      </c>
      <c r="F11" s="521">
        <v>0.02</v>
      </c>
      <c r="G11" s="521">
        <v>7.3915999999999999E-3</v>
      </c>
      <c r="H11" s="521">
        <v>0</v>
      </c>
      <c r="I11" s="521">
        <v>0</v>
      </c>
    </row>
    <row r="12" spans="1:9" s="22" customFormat="1" ht="18" customHeight="1">
      <c r="A12" s="517" t="s">
        <v>384</v>
      </c>
      <c r="B12" s="521">
        <v>25.204654999999999</v>
      </c>
      <c r="C12" s="521">
        <v>1.0989629999999999</v>
      </c>
      <c r="D12" s="521">
        <v>38.964887019999999</v>
      </c>
      <c r="E12" s="521">
        <v>0.59955239999999987</v>
      </c>
      <c r="F12" s="521">
        <v>0</v>
      </c>
      <c r="G12" s="521">
        <v>0</v>
      </c>
      <c r="H12" s="521">
        <v>0</v>
      </c>
      <c r="I12" s="521">
        <v>0</v>
      </c>
    </row>
    <row r="13" spans="1:9" s="22" customFormat="1" ht="18" customHeight="1">
      <c r="A13" s="517" t="s">
        <v>386</v>
      </c>
      <c r="B13" s="521">
        <v>23.771080000000001</v>
      </c>
      <c r="C13" s="521">
        <v>8.4750000000000006E-2</v>
      </c>
      <c r="D13" s="521">
        <v>31.664533500000001</v>
      </c>
      <c r="E13" s="521">
        <v>9.5656600000000008E-2</v>
      </c>
      <c r="F13" s="521">
        <v>0.01</v>
      </c>
      <c r="G13" s="521">
        <v>2.3640000000000001E-5</v>
      </c>
      <c r="H13" s="521">
        <v>0</v>
      </c>
      <c r="I13" s="521">
        <v>0</v>
      </c>
    </row>
    <row r="14" spans="1:9" s="22" customFormat="1" ht="18" customHeight="1">
      <c r="A14" s="517" t="s">
        <v>392</v>
      </c>
      <c r="B14" s="521">
        <v>16.550516999999999</v>
      </c>
      <c r="C14" s="521">
        <v>0.2172</v>
      </c>
      <c r="D14" s="521">
        <v>22.685473500000001</v>
      </c>
      <c r="E14" s="521">
        <v>0.61006404000000003</v>
      </c>
      <c r="F14" s="521">
        <v>0</v>
      </c>
      <c r="G14" s="521">
        <v>0</v>
      </c>
      <c r="H14" s="521">
        <v>0</v>
      </c>
      <c r="I14" s="521">
        <v>0</v>
      </c>
    </row>
    <row r="15" spans="1:9" s="22" customFormat="1" ht="18" customHeight="1">
      <c r="A15" s="517" t="s">
        <v>396</v>
      </c>
      <c r="B15" s="521">
        <v>12.343830000000001</v>
      </c>
      <c r="C15" s="521">
        <v>9.4009999999999996E-2</v>
      </c>
      <c r="D15" s="521">
        <v>21.521981499999999</v>
      </c>
      <c r="E15" s="521">
        <v>0.57745047999999999</v>
      </c>
      <c r="F15" s="521">
        <v>0</v>
      </c>
      <c r="G15" s="521">
        <v>0</v>
      </c>
      <c r="H15" s="521">
        <v>0</v>
      </c>
      <c r="I15" s="521">
        <v>0</v>
      </c>
    </row>
    <row r="16" spans="1:9" s="22" customFormat="1" ht="18" customHeight="1">
      <c r="A16" s="490">
        <v>44166</v>
      </c>
      <c r="B16" s="521">
        <v>12.246936</v>
      </c>
      <c r="C16" s="521">
        <v>0.34715800000000002</v>
      </c>
      <c r="D16" s="521">
        <v>17.919437500000001</v>
      </c>
      <c r="E16" s="521">
        <v>0.47487518000000001</v>
      </c>
      <c r="F16" s="521">
        <v>0</v>
      </c>
      <c r="G16" s="521">
        <v>0</v>
      </c>
      <c r="H16" s="521">
        <v>0</v>
      </c>
      <c r="I16" s="521">
        <v>0</v>
      </c>
    </row>
    <row r="17" spans="1:9" s="22" customFormat="1" ht="18" customHeight="1">
      <c r="A17" s="490">
        <v>44197</v>
      </c>
      <c r="B17" s="521">
        <v>8.4882980000000003</v>
      </c>
      <c r="C17" s="521">
        <v>3.4720000000000001E-2</v>
      </c>
      <c r="D17" s="521">
        <v>18.369314500000002</v>
      </c>
      <c r="E17" s="521">
        <v>0.28740532000000002</v>
      </c>
      <c r="F17" s="521">
        <v>0</v>
      </c>
      <c r="G17" s="521">
        <v>0</v>
      </c>
      <c r="H17" s="521">
        <v>0</v>
      </c>
      <c r="I17" s="521">
        <v>0</v>
      </c>
    </row>
    <row r="18" spans="1:9" s="22" customFormat="1" ht="18" customHeight="1">
      <c r="A18" s="490">
        <v>44228</v>
      </c>
      <c r="B18" s="521">
        <v>20.964690999999998</v>
      </c>
      <c r="C18" s="521">
        <v>0.199659</v>
      </c>
      <c r="D18" s="521">
        <v>49.169045500000003</v>
      </c>
      <c r="E18" s="521">
        <v>0.76537292000000001</v>
      </c>
      <c r="F18" s="521">
        <v>0</v>
      </c>
      <c r="G18" s="521">
        <v>0</v>
      </c>
      <c r="H18" s="521">
        <v>0</v>
      </c>
      <c r="I18" s="521">
        <v>0</v>
      </c>
    </row>
    <row r="19" spans="1:9" s="22" customFormat="1">
      <c r="A19" s="29" t="s">
        <v>519</v>
      </c>
      <c r="B19" s="492"/>
      <c r="C19" s="492"/>
      <c r="D19" s="492"/>
      <c r="E19" s="492"/>
      <c r="F19" s="522"/>
      <c r="G19" s="522"/>
    </row>
    <row r="20" spans="1:9" s="22" customFormat="1">
      <c r="A20" s="21" t="s">
        <v>645</v>
      </c>
      <c r="B20" s="21"/>
      <c r="C20" s="21"/>
      <c r="D20" s="21"/>
      <c r="E20" s="21"/>
      <c r="F20" s="21"/>
      <c r="G20" s="21"/>
    </row>
    <row r="21" spans="1:9" s="22" customFormat="1">
      <c r="A21" s="21" t="s">
        <v>646</v>
      </c>
      <c r="B21" s="21"/>
      <c r="C21" s="21"/>
      <c r="D21" s="21"/>
      <c r="E21" s="21"/>
      <c r="F21" s="21"/>
      <c r="G21" s="21"/>
    </row>
    <row r="22" spans="1:9">
      <c r="A22" s="21" t="s">
        <v>647</v>
      </c>
    </row>
    <row r="23" spans="1:9">
      <c r="A23" s="21" t="s">
        <v>1173</v>
      </c>
    </row>
    <row r="24" spans="1:9">
      <c r="A24" s="21" t="s">
        <v>648</v>
      </c>
    </row>
    <row r="25" spans="1:9">
      <c r="B25" s="523"/>
      <c r="C25" s="523"/>
      <c r="D25" s="523"/>
      <c r="E25" s="523"/>
      <c r="F25" s="523"/>
      <c r="G25" s="523"/>
      <c r="H25" s="523"/>
      <c r="I25" s="523"/>
    </row>
    <row r="26" spans="1:9">
      <c r="B26" s="523"/>
      <c r="C26" s="523"/>
      <c r="D26" s="523"/>
      <c r="E26" s="523"/>
      <c r="F26" s="523"/>
      <c r="G26" s="523"/>
      <c r="H26" s="523"/>
      <c r="I26" s="523"/>
    </row>
    <row r="27" spans="1:9">
      <c r="B27" s="523"/>
      <c r="C27" s="523"/>
      <c r="D27" s="523"/>
      <c r="E27" s="523"/>
      <c r="F27" s="523"/>
      <c r="G27" s="523"/>
      <c r="H27" s="523"/>
      <c r="I27" s="523"/>
    </row>
    <row r="28" spans="1:9">
      <c r="B28" s="523"/>
      <c r="C28" s="523"/>
      <c r="D28" s="523"/>
      <c r="E28" s="523"/>
      <c r="F28" s="523"/>
      <c r="G28" s="523"/>
      <c r="H28" s="523"/>
      <c r="I28" s="523"/>
    </row>
  </sheetData>
  <mergeCells count="9">
    <mergeCell ref="A1:H1"/>
    <mergeCell ref="A3:A5"/>
    <mergeCell ref="B3:C3"/>
    <mergeCell ref="D3:G3"/>
    <mergeCell ref="H3:I3"/>
    <mergeCell ref="B4:C4"/>
    <mergeCell ref="D4:E4"/>
    <mergeCell ref="F4:G4"/>
    <mergeCell ref="H4:I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18"/>
  <sheetViews>
    <sheetView zoomScaleNormal="100" workbookViewId="0">
      <selection activeCell="H24" sqref="H24"/>
    </sheetView>
  </sheetViews>
  <sheetFormatPr defaultColWidth="8.85546875" defaultRowHeight="15"/>
  <cols>
    <col min="1" max="1" width="12.140625" style="21" bestFit="1" customWidth="1"/>
    <col min="2" max="2" width="14.42578125" style="21" customWidth="1"/>
    <col min="3" max="3" width="11.140625" style="21" bestFit="1" customWidth="1"/>
    <col min="4" max="5" width="14.42578125" style="21" bestFit="1" customWidth="1"/>
    <col min="6" max="6" width="16" style="21" bestFit="1" customWidth="1"/>
    <col min="7" max="7" width="4.85546875" style="21" bestFit="1" customWidth="1"/>
    <col min="8" max="16384" width="8.85546875" style="21"/>
  </cols>
  <sheetData>
    <row r="1" spans="1:9">
      <c r="A1" s="1223" t="s">
        <v>649</v>
      </c>
      <c r="B1" s="1223"/>
      <c r="C1" s="1223"/>
      <c r="D1" s="1223"/>
    </row>
    <row r="2" spans="1:9" s="22" customFormat="1" ht="45">
      <c r="A2" s="398" t="s">
        <v>83</v>
      </c>
      <c r="B2" s="398" t="s">
        <v>650</v>
      </c>
      <c r="C2" s="398" t="s">
        <v>651</v>
      </c>
      <c r="D2" s="398" t="s">
        <v>652</v>
      </c>
      <c r="E2" s="398" t="s">
        <v>653</v>
      </c>
      <c r="F2" s="398" t="s">
        <v>654</v>
      </c>
    </row>
    <row r="3" spans="1:9" s="23" customFormat="1">
      <c r="A3" s="524" t="s">
        <v>58</v>
      </c>
      <c r="B3" s="400">
        <v>1905516.99</v>
      </c>
      <c r="C3" s="400">
        <v>1933046.1599999997</v>
      </c>
      <c r="D3" s="400">
        <v>-27529.170000000013</v>
      </c>
      <c r="E3" s="400">
        <v>-3041.5499999999993</v>
      </c>
      <c r="F3" s="400">
        <v>245112.63</v>
      </c>
    </row>
    <row r="4" spans="1:9" s="23" customFormat="1">
      <c r="A4" s="399" t="s">
        <v>61</v>
      </c>
      <c r="B4" s="400">
        <f>SUM(B5:B18)</f>
        <v>2068456.92</v>
      </c>
      <c r="C4" s="400">
        <f>SUM(C5:C18)</f>
        <v>1818379.57</v>
      </c>
      <c r="D4" s="400">
        <f>SUM(D5:D18)</f>
        <v>250077.34999999998</v>
      </c>
      <c r="E4" s="400">
        <f>SUM(E5:E18)</f>
        <v>33834.1</v>
      </c>
      <c r="F4" s="400">
        <f>F15</f>
        <v>278946.73</v>
      </c>
    </row>
    <row r="5" spans="1:9" s="22" customFormat="1">
      <c r="A5" s="517" t="s">
        <v>60</v>
      </c>
      <c r="B5" s="410">
        <v>144753.65</v>
      </c>
      <c r="C5" s="410">
        <v>159612.19</v>
      </c>
      <c r="D5" s="410">
        <v>-14858.54</v>
      </c>
      <c r="E5" s="410">
        <v>-1961.18</v>
      </c>
      <c r="F5" s="410">
        <f>F3+E5</f>
        <v>243151.45</v>
      </c>
      <c r="I5" s="525"/>
    </row>
    <row r="6" spans="1:9" s="22" customFormat="1">
      <c r="A6" s="517" t="s">
        <v>59</v>
      </c>
      <c r="B6" s="410">
        <v>150169.19</v>
      </c>
      <c r="C6" s="410">
        <v>157525.04</v>
      </c>
      <c r="D6" s="410">
        <v>-7355.85</v>
      </c>
      <c r="E6" s="410">
        <v>-972.51</v>
      </c>
      <c r="F6" s="410">
        <f>F5+E6</f>
        <v>242178.94</v>
      </c>
      <c r="I6" s="525"/>
    </row>
    <row r="7" spans="1:9" s="22" customFormat="1">
      <c r="A7" s="517" t="s">
        <v>310</v>
      </c>
      <c r="B7" s="410">
        <v>202141.05</v>
      </c>
      <c r="C7" s="410">
        <v>176131.62</v>
      </c>
      <c r="D7" s="410">
        <v>26009.43</v>
      </c>
      <c r="E7" s="410">
        <v>3440.94</v>
      </c>
      <c r="F7" s="410">
        <f t="shared" ref="F7:F12" si="0">F6+E7</f>
        <v>245619.88</v>
      </c>
      <c r="I7" s="525"/>
    </row>
    <row r="8" spans="1:9" s="22" customFormat="1">
      <c r="A8" s="517" t="s">
        <v>356</v>
      </c>
      <c r="B8" s="410">
        <v>151569.69</v>
      </c>
      <c r="C8" s="410">
        <v>148268.25</v>
      </c>
      <c r="D8" s="410">
        <v>3301.44</v>
      </c>
      <c r="E8" s="410">
        <v>450.99</v>
      </c>
      <c r="F8" s="410">
        <f t="shared" si="0"/>
        <v>246070.87</v>
      </c>
      <c r="I8" s="525"/>
    </row>
    <row r="9" spans="1:9" s="22" customFormat="1">
      <c r="A9" s="517" t="s">
        <v>384</v>
      </c>
      <c r="B9" s="410">
        <v>177960.26</v>
      </c>
      <c r="C9" s="410">
        <v>128081.31</v>
      </c>
      <c r="D9" s="410">
        <v>49878.95</v>
      </c>
      <c r="E9" s="410">
        <v>6661.85</v>
      </c>
      <c r="F9" s="410">
        <f t="shared" si="0"/>
        <v>252732.72</v>
      </c>
      <c r="I9" s="525"/>
    </row>
    <row r="10" spans="1:9" s="22" customFormat="1">
      <c r="A10" s="517" t="s">
        <v>386</v>
      </c>
      <c r="B10" s="410">
        <v>168469.44</v>
      </c>
      <c r="C10" s="410">
        <v>169665.82</v>
      </c>
      <c r="D10" s="410">
        <v>-1196.3800000000001</v>
      </c>
      <c r="E10" s="410">
        <v>-156.61000000000001</v>
      </c>
      <c r="F10" s="410">
        <f t="shared" si="0"/>
        <v>252576.11000000002</v>
      </c>
      <c r="I10" s="525"/>
    </row>
    <row r="11" spans="1:9" s="22" customFormat="1">
      <c r="A11" s="517" t="s">
        <v>392</v>
      </c>
      <c r="B11" s="410">
        <v>157460.03</v>
      </c>
      <c r="C11" s="410">
        <v>135633.9</v>
      </c>
      <c r="D11" s="410">
        <v>21826.13</v>
      </c>
      <c r="E11" s="410">
        <v>2974.36</v>
      </c>
      <c r="F11" s="410">
        <f t="shared" si="0"/>
        <v>255550.47</v>
      </c>
      <c r="I11" s="525"/>
    </row>
    <row r="12" spans="1:9" s="22" customFormat="1">
      <c r="A12" s="517" t="s">
        <v>396</v>
      </c>
      <c r="B12" s="410">
        <v>223150.05</v>
      </c>
      <c r="C12" s="410">
        <v>160368.29999999999</v>
      </c>
      <c r="D12" s="410">
        <v>62781.75</v>
      </c>
      <c r="E12" s="410">
        <v>8457.83</v>
      </c>
      <c r="F12" s="410">
        <f t="shared" si="0"/>
        <v>264008.3</v>
      </c>
      <c r="H12" s="525"/>
      <c r="I12" s="525"/>
    </row>
    <row r="13" spans="1:9" s="22" customFormat="1">
      <c r="A13" s="490">
        <v>44166</v>
      </c>
      <c r="B13" s="410">
        <v>289810.09999999998</v>
      </c>
      <c r="C13" s="410">
        <v>218763.63</v>
      </c>
      <c r="D13" s="410">
        <v>71046.47</v>
      </c>
      <c r="E13" s="410">
        <v>9647.23</v>
      </c>
      <c r="F13" s="410">
        <f>F12+E13</f>
        <v>273655.52999999997</v>
      </c>
      <c r="I13" s="525"/>
    </row>
    <row r="14" spans="1:9" s="22" customFormat="1">
      <c r="A14" s="490">
        <v>44197</v>
      </c>
      <c r="B14" s="410">
        <v>188005.28</v>
      </c>
      <c r="C14" s="410">
        <v>173374.07</v>
      </c>
      <c r="D14" s="410">
        <v>14631.21</v>
      </c>
      <c r="E14" s="410">
        <v>1998.48</v>
      </c>
      <c r="F14" s="410">
        <v>275654.01</v>
      </c>
      <c r="I14" s="525"/>
    </row>
    <row r="15" spans="1:9" s="22" customFormat="1">
      <c r="A15" s="490">
        <v>44228</v>
      </c>
      <c r="B15" s="410">
        <v>214968.18</v>
      </c>
      <c r="C15" s="410">
        <v>190955.44</v>
      </c>
      <c r="D15" s="410">
        <v>24012.74</v>
      </c>
      <c r="E15" s="410">
        <v>3292.72</v>
      </c>
      <c r="F15" s="410">
        <v>278946.73</v>
      </c>
      <c r="I15" s="525"/>
    </row>
    <row r="16" spans="1:9" s="22" customFormat="1">
      <c r="A16" s="495" t="s">
        <v>36</v>
      </c>
      <c r="B16" s="35"/>
      <c r="C16" s="35"/>
      <c r="D16" s="34"/>
      <c r="E16" s="36"/>
      <c r="F16" s="36"/>
    </row>
    <row r="17" spans="1:6" s="22" customFormat="1" ht="15" customHeight="1">
      <c r="A17" s="21" t="s">
        <v>1173</v>
      </c>
      <c r="B17" s="392"/>
      <c r="C17" s="392"/>
      <c r="D17" s="392"/>
      <c r="E17" s="392"/>
      <c r="F17" s="88"/>
    </row>
    <row r="18" spans="1:6" s="22" customFormat="1" ht="15" customHeight="1">
      <c r="A18" s="1215" t="s">
        <v>655</v>
      </c>
      <c r="B18" s="1215"/>
      <c r="C18" s="1215"/>
      <c r="D18" s="1215"/>
      <c r="E18" s="1215"/>
      <c r="F18" s="392"/>
    </row>
  </sheetData>
  <mergeCells count="2">
    <mergeCell ref="A1:D1"/>
    <mergeCell ref="A18:E1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3"/>
  <sheetViews>
    <sheetView workbookViewId="0">
      <selection activeCell="B4" sqref="B4:F4"/>
    </sheetView>
  </sheetViews>
  <sheetFormatPr defaultColWidth="8.85546875" defaultRowHeight="15"/>
  <cols>
    <col min="1" max="1" width="14.85546875" style="21" bestFit="1" customWidth="1"/>
    <col min="2" max="5" width="14.7109375" style="21" bestFit="1" customWidth="1"/>
    <col min="6" max="6" width="16.42578125" style="21" bestFit="1" customWidth="1"/>
    <col min="7" max="7" width="8.85546875" style="21"/>
    <col min="8" max="8" width="11.28515625" style="21" customWidth="1"/>
    <col min="9" max="9" width="8.85546875" style="21"/>
    <col min="10" max="10" width="10.140625" style="21" bestFit="1" customWidth="1"/>
    <col min="11" max="16384" width="8.85546875" style="21"/>
  </cols>
  <sheetData>
    <row r="1" spans="1:12">
      <c r="A1" s="526" t="s">
        <v>656</v>
      </c>
      <c r="B1" s="526"/>
      <c r="C1" s="526"/>
      <c r="D1" s="526"/>
      <c r="E1" s="526"/>
      <c r="F1" s="526"/>
    </row>
    <row r="2" spans="1:12" s="22" customFormat="1" ht="135">
      <c r="A2" s="465" t="s">
        <v>70</v>
      </c>
      <c r="B2" s="398" t="s">
        <v>657</v>
      </c>
      <c r="C2" s="398" t="s">
        <v>658</v>
      </c>
      <c r="D2" s="398" t="s">
        <v>659</v>
      </c>
      <c r="E2" s="398" t="s">
        <v>660</v>
      </c>
      <c r="F2" s="398" t="s">
        <v>661</v>
      </c>
    </row>
    <row r="3" spans="1:12" s="22" customFormat="1" ht="18" customHeight="1">
      <c r="A3" s="517" t="s">
        <v>58</v>
      </c>
      <c r="B3" s="411">
        <v>48006.398270333913</v>
      </c>
      <c r="C3" s="411">
        <v>47852</v>
      </c>
      <c r="D3" s="417">
        <v>2490223</v>
      </c>
      <c r="E3" s="414">
        <f t="shared" ref="E3:E14" si="0">(B3/D3)*100</f>
        <v>1.9277951520941663</v>
      </c>
      <c r="F3" s="414">
        <f t="shared" ref="F3:F14" si="1">(C3/D3)*100</f>
        <v>1.9215949736228441</v>
      </c>
      <c r="H3" s="357"/>
      <c r="I3" s="422"/>
      <c r="J3" s="422"/>
      <c r="K3" s="422"/>
      <c r="L3" s="422"/>
    </row>
    <row r="4" spans="1:12" s="22" customFormat="1">
      <c r="A4" s="517" t="s">
        <v>662</v>
      </c>
      <c r="B4" s="411">
        <v>91657.539747935647</v>
      </c>
      <c r="C4" s="411">
        <v>91657.539747935647</v>
      </c>
      <c r="D4" s="417">
        <v>4406706</v>
      </c>
      <c r="E4" s="414">
        <f t="shared" si="0"/>
        <v>2.0799558615422868</v>
      </c>
      <c r="F4" s="414">
        <f t="shared" si="1"/>
        <v>2.0799558615422868</v>
      </c>
      <c r="H4" s="357"/>
      <c r="I4" s="422"/>
      <c r="J4" s="422"/>
      <c r="K4" s="422"/>
      <c r="L4" s="422"/>
    </row>
    <row r="5" spans="1:12" s="22" customFormat="1">
      <c r="A5" s="455" t="s">
        <v>60</v>
      </c>
      <c r="B5" s="411">
        <v>57100</v>
      </c>
      <c r="C5" s="411">
        <v>56923</v>
      </c>
      <c r="D5" s="417">
        <v>2819841</v>
      </c>
      <c r="E5" s="414">
        <f t="shared" si="0"/>
        <v>2.0249368670077499</v>
      </c>
      <c r="F5" s="414">
        <f t="shared" si="1"/>
        <v>2.0186599173499498</v>
      </c>
      <c r="H5" s="357"/>
      <c r="I5" s="422"/>
      <c r="L5" s="422"/>
    </row>
    <row r="6" spans="1:12" s="22" customFormat="1">
      <c r="A6" s="455" t="s">
        <v>59</v>
      </c>
      <c r="B6" s="527">
        <v>60027</v>
      </c>
      <c r="C6" s="527">
        <v>59869</v>
      </c>
      <c r="D6" s="528">
        <v>2743734</v>
      </c>
      <c r="E6" s="529">
        <f t="shared" si="0"/>
        <v>2.1877849674932044</v>
      </c>
      <c r="F6" s="529">
        <f t="shared" si="1"/>
        <v>2.1820263917712137</v>
      </c>
      <c r="H6" s="357"/>
      <c r="I6" s="422"/>
      <c r="L6" s="422"/>
    </row>
    <row r="7" spans="1:12" s="22" customFormat="1">
      <c r="A7" s="455" t="s">
        <v>310</v>
      </c>
      <c r="B7" s="530">
        <v>62137.931794577897</v>
      </c>
      <c r="C7" s="530">
        <v>61974.282086353691</v>
      </c>
      <c r="D7" s="531">
        <v>2979826</v>
      </c>
      <c r="E7" s="532">
        <f t="shared" si="0"/>
        <v>2.0852872548456824</v>
      </c>
      <c r="F7" s="532">
        <f t="shared" si="1"/>
        <v>2.0797953332293124</v>
      </c>
      <c r="H7" s="357"/>
      <c r="I7" s="422"/>
      <c r="L7" s="422"/>
    </row>
    <row r="8" spans="1:12" s="22" customFormat="1">
      <c r="A8" s="455" t="s">
        <v>356</v>
      </c>
      <c r="B8" s="411">
        <v>63228</v>
      </c>
      <c r="C8" s="411">
        <v>63035</v>
      </c>
      <c r="D8" s="417">
        <v>3167785</v>
      </c>
      <c r="E8" s="414">
        <f t="shared" si="0"/>
        <v>1.9959687920739571</v>
      </c>
      <c r="F8" s="414">
        <f t="shared" si="1"/>
        <v>1.9898762068764138</v>
      </c>
      <c r="H8" s="357"/>
      <c r="I8" s="422"/>
      <c r="L8" s="422"/>
    </row>
    <row r="9" spans="1:12" s="22" customFormat="1">
      <c r="A9" s="455" t="s">
        <v>384</v>
      </c>
      <c r="B9" s="411">
        <v>74027.297051521688</v>
      </c>
      <c r="C9" s="411">
        <v>73826</v>
      </c>
      <c r="D9" s="417">
        <v>3317805</v>
      </c>
      <c r="E9" s="414">
        <f t="shared" si="0"/>
        <v>2.2312130173871485</v>
      </c>
      <c r="F9" s="414">
        <f t="shared" si="1"/>
        <v>2.2251458419045123</v>
      </c>
      <c r="H9" s="357"/>
      <c r="I9" s="422"/>
      <c r="L9" s="422"/>
    </row>
    <row r="10" spans="1:12" s="22" customFormat="1">
      <c r="A10" s="455" t="s">
        <v>386</v>
      </c>
      <c r="B10" s="411">
        <v>69820.572747645827</v>
      </c>
      <c r="C10" s="411">
        <v>69820.572747645827</v>
      </c>
      <c r="D10" s="417">
        <v>3322393</v>
      </c>
      <c r="E10" s="414">
        <f t="shared" si="0"/>
        <v>2.1015145633778372</v>
      </c>
      <c r="F10" s="414">
        <f t="shared" si="1"/>
        <v>2.1015145633778372</v>
      </c>
      <c r="H10" s="357"/>
      <c r="I10" s="422"/>
      <c r="L10" s="422"/>
    </row>
    <row r="11" spans="1:12" s="22" customFormat="1">
      <c r="A11" s="455" t="s">
        <v>392</v>
      </c>
      <c r="B11" s="411">
        <v>78686.403269105824</v>
      </c>
      <c r="C11" s="411">
        <v>78686.403269105824</v>
      </c>
      <c r="D11" s="417">
        <v>3436258</v>
      </c>
      <c r="E11" s="414">
        <f t="shared" si="0"/>
        <v>2.2898863609515296</v>
      </c>
      <c r="F11" s="414">
        <f t="shared" si="1"/>
        <v>2.2898863609515296</v>
      </c>
      <c r="H11" s="357"/>
      <c r="I11" s="422"/>
      <c r="L11" s="422"/>
    </row>
    <row r="12" spans="1:12" s="22" customFormat="1">
      <c r="A12" s="455" t="s">
        <v>396</v>
      </c>
      <c r="B12" s="411">
        <v>83114</v>
      </c>
      <c r="C12" s="411">
        <v>83114</v>
      </c>
      <c r="D12" s="417">
        <v>3850843</v>
      </c>
      <c r="E12" s="414">
        <f t="shared" si="0"/>
        <v>2.1583326040557873</v>
      </c>
      <c r="F12" s="414">
        <f t="shared" si="1"/>
        <v>2.1583326040557873</v>
      </c>
      <c r="H12" s="357"/>
      <c r="I12" s="422"/>
      <c r="L12" s="422"/>
    </row>
    <row r="13" spans="1:12" s="22" customFormat="1">
      <c r="A13" s="409">
        <v>44166</v>
      </c>
      <c r="B13" s="411">
        <v>87132.419623391674</v>
      </c>
      <c r="C13" s="411">
        <v>87132.419623391674</v>
      </c>
      <c r="D13" s="417">
        <v>4182214</v>
      </c>
      <c r="E13" s="414">
        <f t="shared" si="0"/>
        <v>2.0834041400892369</v>
      </c>
      <c r="F13" s="414">
        <f t="shared" si="1"/>
        <v>2.0834041400892369</v>
      </c>
      <c r="H13" s="357"/>
      <c r="I13" s="422"/>
      <c r="L13" s="422"/>
    </row>
    <row r="14" spans="1:12" s="22" customFormat="1">
      <c r="A14" s="409">
        <v>44197</v>
      </c>
      <c r="B14" s="411">
        <v>84976.37794486036</v>
      </c>
      <c r="C14" s="411">
        <v>84976.37794486036</v>
      </c>
      <c r="D14" s="417">
        <v>4115463</v>
      </c>
      <c r="E14" s="414">
        <f t="shared" si="0"/>
        <v>2.0648072390605958</v>
      </c>
      <c r="F14" s="414">
        <f t="shared" si="1"/>
        <v>2.0648072390605958</v>
      </c>
      <c r="H14" s="357"/>
      <c r="I14" s="422"/>
      <c r="L14" s="422"/>
    </row>
    <row r="15" spans="1:12" s="22" customFormat="1">
      <c r="A15" s="409">
        <v>44228</v>
      </c>
      <c r="B15" s="411">
        <v>91657.539747935647</v>
      </c>
      <c r="C15" s="411">
        <v>91657.539747935647</v>
      </c>
      <c r="D15" s="417">
        <v>4406706</v>
      </c>
      <c r="E15" s="414">
        <f t="shared" ref="E15" si="2">(B15/D15)*100</f>
        <v>2.0799558615422868</v>
      </c>
      <c r="F15" s="414">
        <f t="shared" ref="F15" si="3">(C15/D15)*100</f>
        <v>2.0799558615422868</v>
      </c>
      <c r="H15" s="357"/>
      <c r="I15" s="422"/>
      <c r="L15" s="422"/>
    </row>
    <row r="16" spans="1:12" s="22" customFormat="1">
      <c r="A16" s="378" t="s">
        <v>36</v>
      </c>
      <c r="B16" s="378"/>
      <c r="C16" s="378"/>
      <c r="D16" s="378"/>
      <c r="E16" s="378"/>
      <c r="F16" s="378"/>
      <c r="H16" s="357"/>
      <c r="I16" s="422"/>
      <c r="J16" s="422"/>
      <c r="K16" s="422"/>
      <c r="L16" s="422"/>
    </row>
    <row r="17" spans="1:15" s="22" customFormat="1">
      <c r="A17" s="378" t="s">
        <v>663</v>
      </c>
      <c r="B17" s="378"/>
      <c r="C17" s="378"/>
      <c r="D17" s="378"/>
      <c r="E17" s="378"/>
      <c r="F17" s="378"/>
      <c r="H17" s="357"/>
      <c r="I17" s="422"/>
      <c r="J17" s="422"/>
      <c r="K17" s="422"/>
      <c r="L17" s="422"/>
    </row>
    <row r="18" spans="1:15" s="22" customFormat="1">
      <c r="A18" s="21" t="s">
        <v>664</v>
      </c>
      <c r="B18" s="21"/>
      <c r="C18" s="21"/>
      <c r="D18" s="21"/>
      <c r="E18" s="21"/>
      <c r="F18" s="21"/>
      <c r="H18" s="357"/>
      <c r="I18" s="422"/>
      <c r="J18" s="422"/>
      <c r="K18" s="422"/>
      <c r="L18" s="422"/>
    </row>
    <row r="19" spans="1:15" s="22" customFormat="1" ht="14.25" customHeight="1">
      <c r="A19" s="378" t="s">
        <v>665</v>
      </c>
      <c r="B19" s="378"/>
      <c r="C19" s="378"/>
      <c r="D19" s="378"/>
      <c r="E19" s="378"/>
      <c r="F19" s="378"/>
    </row>
    <row r="20" spans="1:15" s="22" customFormat="1" ht="14.25" customHeight="1">
      <c r="A20" s="378" t="s">
        <v>666</v>
      </c>
      <c r="B20" s="378"/>
      <c r="C20" s="378"/>
      <c r="D20" s="378"/>
      <c r="E20" s="378"/>
      <c r="F20" s="378"/>
    </row>
    <row r="21" spans="1:15" ht="14.25" customHeight="1">
      <c r="A21" s="1215" t="s">
        <v>1173</v>
      </c>
      <c r="B21" s="1215"/>
      <c r="C21" s="1215"/>
      <c r="D21" s="1215"/>
      <c r="E21" s="1215"/>
      <c r="F21" s="1215"/>
    </row>
    <row r="22" spans="1:15" s="22" customFormat="1" ht="14.25" customHeight="1">
      <c r="A22" s="384" t="s">
        <v>43</v>
      </c>
      <c r="B22" s="384"/>
      <c r="C22" s="384"/>
      <c r="D22" s="384"/>
      <c r="E22" s="21"/>
      <c r="F22" s="21"/>
    </row>
    <row r="23" spans="1:15" s="22" customFormat="1" ht="14.25" customHeight="1"/>
    <row r="24" spans="1:15" ht="14.25" customHeight="1"/>
    <row r="25" spans="1:15" ht="14.25" customHeight="1"/>
    <row r="26" spans="1:15">
      <c r="H26" s="533"/>
      <c r="I26" s="533"/>
      <c r="J26" s="533"/>
      <c r="K26" s="533"/>
      <c r="L26" s="533"/>
      <c r="M26" s="533"/>
      <c r="N26" s="533"/>
      <c r="O26" s="533"/>
    </row>
    <row r="27" spans="1:15">
      <c r="H27" s="533"/>
      <c r="I27" s="533"/>
      <c r="J27" s="533"/>
      <c r="K27" s="533"/>
      <c r="L27" s="533"/>
      <c r="M27" s="533"/>
      <c r="N27" s="533"/>
      <c r="O27" s="533"/>
    </row>
    <row r="28" spans="1:15">
      <c r="H28" s="533"/>
      <c r="I28" s="533"/>
      <c r="J28" s="533"/>
      <c r="K28" s="533"/>
      <c r="L28" s="533"/>
      <c r="M28" s="533"/>
      <c r="N28" s="533"/>
      <c r="O28" s="533"/>
    </row>
    <row r="29" spans="1:15">
      <c r="H29" s="533"/>
      <c r="I29" s="533"/>
      <c r="J29" s="533"/>
      <c r="K29" s="533"/>
      <c r="L29" s="533"/>
      <c r="M29" s="533"/>
      <c r="N29" s="533"/>
      <c r="O29" s="533"/>
    </row>
    <row r="30" spans="1:15">
      <c r="H30" s="533"/>
      <c r="I30" s="533"/>
      <c r="J30" s="533"/>
      <c r="K30" s="533"/>
      <c r="L30" s="533"/>
      <c r="M30" s="533"/>
      <c r="N30" s="533"/>
      <c r="O30" s="533"/>
    </row>
    <row r="31" spans="1:15">
      <c r="H31" s="533"/>
      <c r="I31" s="533"/>
      <c r="J31" s="533"/>
      <c r="K31" s="533"/>
      <c r="L31" s="533"/>
      <c r="M31" s="533"/>
      <c r="N31" s="533"/>
      <c r="O31" s="533"/>
    </row>
    <row r="32" spans="1:15">
      <c r="H32" s="533"/>
      <c r="I32" s="533"/>
      <c r="J32" s="533"/>
      <c r="K32" s="533"/>
      <c r="L32" s="533"/>
      <c r="M32" s="533"/>
      <c r="N32" s="533"/>
      <c r="O32" s="533"/>
    </row>
    <row r="33" spans="8:15">
      <c r="H33" s="533"/>
      <c r="I33" s="533"/>
      <c r="J33" s="533"/>
      <c r="K33" s="533"/>
      <c r="L33" s="533"/>
      <c r="M33" s="533"/>
      <c r="N33" s="533"/>
      <c r="O33" s="533"/>
    </row>
  </sheetData>
  <mergeCells count="1">
    <mergeCell ref="A21:F2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H27"/>
  <sheetViews>
    <sheetView zoomScaleNormal="100" workbookViewId="0">
      <selection activeCell="I20" sqref="I20"/>
    </sheetView>
  </sheetViews>
  <sheetFormatPr defaultColWidth="8.85546875" defaultRowHeight="15"/>
  <cols>
    <col min="1" max="1" width="11.7109375" style="21" bestFit="1" customWidth="1"/>
    <col min="2" max="2" width="7" style="21" bestFit="1" customWidth="1"/>
    <col min="3" max="3" width="9.7109375" style="21" bestFit="1" customWidth="1"/>
    <col min="4" max="4" width="7" style="21" bestFit="1" customWidth="1"/>
    <col min="5" max="5" width="10" style="21" bestFit="1" customWidth="1"/>
    <col min="6" max="6" width="7" style="21" bestFit="1" customWidth="1"/>
    <col min="7" max="7" width="10.42578125" style="21" bestFit="1" customWidth="1"/>
    <col min="8" max="8" width="6.42578125" style="21" bestFit="1" customWidth="1"/>
    <col min="9" max="9" width="10" style="21" bestFit="1" customWidth="1"/>
    <col min="10" max="10" width="7.42578125" style="21" bestFit="1" customWidth="1"/>
    <col min="11" max="11" width="9.7109375" style="21" bestFit="1" customWidth="1"/>
    <col min="12" max="12" width="6.85546875" style="21" bestFit="1" customWidth="1"/>
    <col min="13" max="13" width="9.42578125" style="21" bestFit="1" customWidth="1"/>
    <col min="14" max="14" width="6.85546875" style="21" bestFit="1" customWidth="1"/>
    <col min="15" max="15" width="12.42578125" style="21" bestFit="1" customWidth="1"/>
    <col min="16" max="16" width="7" style="21" bestFit="1" customWidth="1"/>
    <col min="17" max="17" width="10.7109375" style="21" bestFit="1" customWidth="1"/>
    <col min="18" max="18" width="6.7109375" style="21" bestFit="1" customWidth="1"/>
    <col min="19" max="19" width="10.140625" style="21" bestFit="1" customWidth="1"/>
    <col min="20" max="20" width="6.42578125" style="21" bestFit="1" customWidth="1"/>
    <col min="21" max="21" width="12.42578125" style="21" bestFit="1" customWidth="1"/>
    <col min="22" max="22" width="6.42578125" style="21" bestFit="1" customWidth="1"/>
    <col min="23" max="23" width="10.28515625" style="21" bestFit="1" customWidth="1"/>
    <col min="24" max="24" width="6.7109375" style="21" bestFit="1" customWidth="1"/>
    <col min="25" max="25" width="10.140625" style="21" bestFit="1" customWidth="1"/>
    <col min="26" max="26" width="6.42578125" style="21" bestFit="1" customWidth="1"/>
    <col min="27" max="27" width="10.85546875" style="21" bestFit="1" customWidth="1"/>
    <col min="28" max="28" width="6.7109375" style="21" bestFit="1" customWidth="1"/>
    <col min="29" max="29" width="12.85546875" style="21" bestFit="1" customWidth="1"/>
    <col min="30" max="30" width="4.7109375" style="21" bestFit="1" customWidth="1"/>
    <col min="31" max="31" width="9" style="21" bestFit="1" customWidth="1"/>
    <col min="32" max="32" width="13.42578125" style="21" bestFit="1" customWidth="1"/>
    <col min="33" max="34" width="9" style="21" bestFit="1" customWidth="1"/>
    <col min="35" max="16384" width="8.85546875" style="21"/>
  </cols>
  <sheetData>
    <row r="1" spans="1:34">
      <c r="A1" s="1236" t="s">
        <v>667</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row>
    <row r="2" spans="1:34" s="24" customFormat="1">
      <c r="A2" s="1315" t="s">
        <v>668</v>
      </c>
      <c r="B2" s="1321" t="s">
        <v>669</v>
      </c>
      <c r="C2" s="1323"/>
      <c r="D2" s="1374" t="s">
        <v>670</v>
      </c>
      <c r="E2" s="1375"/>
      <c r="F2" s="1374" t="s">
        <v>671</v>
      </c>
      <c r="G2" s="1375"/>
      <c r="H2" s="1374" t="s">
        <v>672</v>
      </c>
      <c r="I2" s="1375"/>
      <c r="J2" s="1321" t="s">
        <v>673</v>
      </c>
      <c r="K2" s="1323"/>
      <c r="L2" s="1321" t="s">
        <v>674</v>
      </c>
      <c r="M2" s="1323"/>
      <c r="N2" s="1374" t="s">
        <v>675</v>
      </c>
      <c r="O2" s="1375"/>
      <c r="P2" s="1321" t="s">
        <v>676</v>
      </c>
      <c r="Q2" s="1323"/>
      <c r="R2" s="1321" t="s">
        <v>154</v>
      </c>
      <c r="S2" s="1323"/>
      <c r="T2" s="1374" t="s">
        <v>677</v>
      </c>
      <c r="U2" s="1375"/>
      <c r="V2" s="1374" t="s">
        <v>678</v>
      </c>
      <c r="W2" s="1375"/>
      <c r="X2" s="1374" t="s">
        <v>679</v>
      </c>
      <c r="Y2" s="1375"/>
      <c r="Z2" s="1321" t="s">
        <v>150</v>
      </c>
      <c r="AA2" s="1323"/>
      <c r="AB2" s="1321" t="s">
        <v>53</v>
      </c>
      <c r="AC2" s="1323"/>
    </row>
    <row r="3" spans="1:34" s="24" customFormat="1" ht="30">
      <c r="A3" s="1316"/>
      <c r="B3" s="461" t="s">
        <v>680</v>
      </c>
      <c r="C3" s="461" t="s">
        <v>681</v>
      </c>
      <c r="D3" s="461" t="s">
        <v>680</v>
      </c>
      <c r="E3" s="461" t="s">
        <v>681</v>
      </c>
      <c r="F3" s="461" t="s">
        <v>680</v>
      </c>
      <c r="G3" s="461" t="s">
        <v>681</v>
      </c>
      <c r="H3" s="461" t="s">
        <v>680</v>
      </c>
      <c r="I3" s="461" t="s">
        <v>681</v>
      </c>
      <c r="J3" s="461" t="s">
        <v>680</v>
      </c>
      <c r="K3" s="461" t="s">
        <v>681</v>
      </c>
      <c r="L3" s="461" t="s">
        <v>680</v>
      </c>
      <c r="M3" s="461" t="s">
        <v>681</v>
      </c>
      <c r="N3" s="461" t="s">
        <v>680</v>
      </c>
      <c r="O3" s="461" t="s">
        <v>681</v>
      </c>
      <c r="P3" s="461" t="s">
        <v>680</v>
      </c>
      <c r="Q3" s="461" t="s">
        <v>681</v>
      </c>
      <c r="R3" s="461" t="s">
        <v>680</v>
      </c>
      <c r="S3" s="461" t="s">
        <v>681</v>
      </c>
      <c r="T3" s="461" t="s">
        <v>680</v>
      </c>
      <c r="U3" s="461" t="s">
        <v>681</v>
      </c>
      <c r="V3" s="461" t="s">
        <v>680</v>
      </c>
      <c r="W3" s="461" t="s">
        <v>681</v>
      </c>
      <c r="X3" s="461" t="s">
        <v>680</v>
      </c>
      <c r="Y3" s="461" t="s">
        <v>681</v>
      </c>
      <c r="Z3" s="461" t="s">
        <v>680</v>
      </c>
      <c r="AA3" s="461" t="s">
        <v>681</v>
      </c>
      <c r="AB3" s="461" t="s">
        <v>680</v>
      </c>
      <c r="AC3" s="461" t="s">
        <v>681</v>
      </c>
    </row>
    <row r="4" spans="1:34" s="24" customFormat="1">
      <c r="A4" s="455" t="s">
        <v>58</v>
      </c>
      <c r="B4" s="419">
        <v>9825</v>
      </c>
      <c r="C4" s="439">
        <v>2490223.13</v>
      </c>
      <c r="D4" s="438">
        <v>66</v>
      </c>
      <c r="E4" s="439">
        <v>227791.97</v>
      </c>
      <c r="F4" s="419">
        <v>2079</v>
      </c>
      <c r="G4" s="439">
        <v>832863.69</v>
      </c>
      <c r="H4" s="419">
        <v>208</v>
      </c>
      <c r="I4" s="419">
        <v>38124.839999999997</v>
      </c>
      <c r="J4" s="419">
        <v>25</v>
      </c>
      <c r="K4" s="419">
        <v>1582.04</v>
      </c>
      <c r="L4" s="419">
        <v>693</v>
      </c>
      <c r="M4" s="419">
        <v>2098.92</v>
      </c>
      <c r="N4" s="419">
        <v>1624</v>
      </c>
      <c r="O4" s="439">
        <v>1891137.87</v>
      </c>
      <c r="P4" s="419">
        <v>598</v>
      </c>
      <c r="Q4" s="419">
        <v>88517.75</v>
      </c>
      <c r="R4" s="419">
        <v>121</v>
      </c>
      <c r="S4" s="439">
        <v>412044.02</v>
      </c>
      <c r="T4" s="438">
        <v>788</v>
      </c>
      <c r="U4" s="439">
        <v>1547943.43</v>
      </c>
      <c r="V4" s="438">
        <v>124</v>
      </c>
      <c r="W4" s="439">
        <v>477968.29</v>
      </c>
      <c r="X4" s="438">
        <v>25</v>
      </c>
      <c r="Y4" s="419">
        <v>40702.49</v>
      </c>
      <c r="Z4" s="419">
        <v>25595</v>
      </c>
      <c r="AA4" s="439">
        <v>967716.71</v>
      </c>
      <c r="AB4" s="419">
        <v>41771</v>
      </c>
      <c r="AC4" s="439">
        <v>9018715.1500000004</v>
      </c>
      <c r="AE4" s="534"/>
      <c r="AF4" s="535"/>
      <c r="AG4" s="534"/>
      <c r="AH4" s="535"/>
    </row>
    <row r="5" spans="1:34" s="24" customFormat="1">
      <c r="A5" s="455" t="s">
        <v>61</v>
      </c>
      <c r="B5" s="419">
        <f>B16</f>
        <v>10169</v>
      </c>
      <c r="C5" s="419">
        <f t="shared" ref="C5:AC5" si="0">C16</f>
        <v>4406706.26</v>
      </c>
      <c r="D5" s="419">
        <f t="shared" si="0"/>
        <v>66</v>
      </c>
      <c r="E5" s="419">
        <f t="shared" si="0"/>
        <v>452758.98</v>
      </c>
      <c r="F5" s="419">
        <f t="shared" si="0"/>
        <v>2317</v>
      </c>
      <c r="G5" s="419">
        <f t="shared" si="0"/>
        <v>1263517.77</v>
      </c>
      <c r="H5" s="419">
        <f t="shared" si="0"/>
        <v>216</v>
      </c>
      <c r="I5" s="419">
        <f t="shared" si="0"/>
        <v>42089.919999999998</v>
      </c>
      <c r="J5" s="419">
        <f t="shared" si="0"/>
        <v>23</v>
      </c>
      <c r="K5" s="419">
        <f t="shared" si="0"/>
        <v>2263.77</v>
      </c>
      <c r="L5" s="419">
        <f t="shared" si="0"/>
        <v>789</v>
      </c>
      <c r="M5" s="419">
        <f t="shared" si="0"/>
        <v>3271.82</v>
      </c>
      <c r="N5" s="419">
        <f t="shared" si="0"/>
        <v>1621</v>
      </c>
      <c r="O5" s="419">
        <f t="shared" si="0"/>
        <v>2481119.7999999998</v>
      </c>
      <c r="P5" s="419">
        <f t="shared" si="0"/>
        <v>672</v>
      </c>
      <c r="Q5" s="419">
        <f t="shared" si="0"/>
        <v>117561.47</v>
      </c>
      <c r="R5" s="419">
        <f t="shared" si="0"/>
        <v>79</v>
      </c>
      <c r="S5" s="419">
        <f t="shared" si="0"/>
        <v>546317.87</v>
      </c>
      <c r="T5" s="419">
        <f t="shared" si="0"/>
        <v>794</v>
      </c>
      <c r="U5" s="419">
        <f t="shared" si="0"/>
        <v>2139756.15</v>
      </c>
      <c r="V5" s="419">
        <f t="shared" si="0"/>
        <v>102</v>
      </c>
      <c r="W5" s="419">
        <f t="shared" si="0"/>
        <v>589969.81999999995</v>
      </c>
      <c r="X5" s="419">
        <f t="shared" si="0"/>
        <v>27</v>
      </c>
      <c r="Y5" s="419">
        <f t="shared" si="0"/>
        <v>42069.59</v>
      </c>
      <c r="Z5" s="419">
        <f t="shared" si="0"/>
        <v>30703</v>
      </c>
      <c r="AA5" s="419">
        <f t="shared" si="0"/>
        <v>1211465.75</v>
      </c>
      <c r="AB5" s="419">
        <f t="shared" si="0"/>
        <v>47578</v>
      </c>
      <c r="AC5" s="419">
        <f t="shared" si="0"/>
        <v>13298868.970000001</v>
      </c>
      <c r="AE5" s="534"/>
      <c r="AF5" s="535"/>
      <c r="AG5" s="534"/>
      <c r="AH5" s="535"/>
    </row>
    <row r="6" spans="1:34" s="24" customFormat="1">
      <c r="A6" s="455" t="s">
        <v>60</v>
      </c>
      <c r="B6" s="419">
        <v>9916</v>
      </c>
      <c r="C6" s="439">
        <v>2819840.63</v>
      </c>
      <c r="D6" s="438">
        <v>66</v>
      </c>
      <c r="E6" s="439">
        <v>264852.96000000002</v>
      </c>
      <c r="F6" s="419">
        <v>2088</v>
      </c>
      <c r="G6" s="439">
        <v>891652.54</v>
      </c>
      <c r="H6" s="419">
        <v>208</v>
      </c>
      <c r="I6" s="419">
        <v>38313.550000000003</v>
      </c>
      <c r="J6" s="419">
        <v>25</v>
      </c>
      <c r="K6" s="419">
        <v>1678.47</v>
      </c>
      <c r="L6" s="419">
        <v>693</v>
      </c>
      <c r="M6" s="419">
        <v>2287.0300000000002</v>
      </c>
      <c r="N6" s="419">
        <v>1621</v>
      </c>
      <c r="O6" s="439">
        <v>2031625.42</v>
      </c>
      <c r="P6" s="419">
        <v>600</v>
      </c>
      <c r="Q6" s="419">
        <v>92221.83</v>
      </c>
      <c r="R6" s="419">
        <v>121</v>
      </c>
      <c r="S6" s="439">
        <v>484474.78</v>
      </c>
      <c r="T6" s="438">
        <v>790</v>
      </c>
      <c r="U6" s="439">
        <v>1656179.49</v>
      </c>
      <c r="V6" s="438">
        <v>124</v>
      </c>
      <c r="W6" s="439">
        <v>486918.55</v>
      </c>
      <c r="X6" s="438">
        <v>26</v>
      </c>
      <c r="Y6" s="419">
        <v>42889.59</v>
      </c>
      <c r="Z6" s="419">
        <v>25629</v>
      </c>
      <c r="AA6" s="439">
        <v>1000395.04</v>
      </c>
      <c r="AB6" s="419">
        <v>41907</v>
      </c>
      <c r="AC6" s="439">
        <v>9813329.8800000008</v>
      </c>
      <c r="AE6" s="534"/>
      <c r="AF6" s="535"/>
      <c r="AG6" s="534"/>
      <c r="AH6" s="535"/>
    </row>
    <row r="7" spans="1:34" s="24" customFormat="1">
      <c r="A7" s="455" t="s">
        <v>59</v>
      </c>
      <c r="B7" s="419">
        <v>9912</v>
      </c>
      <c r="C7" s="439">
        <v>2743734.07</v>
      </c>
      <c r="D7" s="438">
        <v>66</v>
      </c>
      <c r="E7" s="439">
        <v>251650.89</v>
      </c>
      <c r="F7" s="419">
        <v>2098</v>
      </c>
      <c r="G7" s="439">
        <v>869794.25</v>
      </c>
      <c r="H7" s="419">
        <v>210</v>
      </c>
      <c r="I7" s="419">
        <v>38512.69</v>
      </c>
      <c r="J7" s="419">
        <v>25</v>
      </c>
      <c r="K7" s="419">
        <v>1564.8</v>
      </c>
      <c r="L7" s="419">
        <v>698</v>
      </c>
      <c r="M7" s="419">
        <v>2438.62</v>
      </c>
      <c r="N7" s="419">
        <v>1622</v>
      </c>
      <c r="O7" s="439">
        <v>2001267.16</v>
      </c>
      <c r="P7" s="419">
        <v>600</v>
      </c>
      <c r="Q7" s="419">
        <v>96705.97</v>
      </c>
      <c r="R7" s="419">
        <v>121</v>
      </c>
      <c r="S7" s="439">
        <v>496496.67</v>
      </c>
      <c r="T7" s="438">
        <v>790</v>
      </c>
      <c r="U7" s="439">
        <v>1650619.6</v>
      </c>
      <c r="V7" s="438">
        <v>112</v>
      </c>
      <c r="W7" s="439">
        <v>493260.74</v>
      </c>
      <c r="X7" s="438">
        <v>26</v>
      </c>
      <c r="Y7" s="419">
        <v>44232.99</v>
      </c>
      <c r="Z7" s="419">
        <v>25655</v>
      </c>
      <c r="AA7" s="439">
        <v>986317.56</v>
      </c>
      <c r="AB7" s="419">
        <v>41935</v>
      </c>
      <c r="AC7" s="439">
        <v>9676596.0099999998</v>
      </c>
      <c r="AE7" s="534"/>
      <c r="AF7" s="535"/>
      <c r="AG7" s="534"/>
      <c r="AH7" s="535"/>
    </row>
    <row r="8" spans="1:34" s="24" customFormat="1">
      <c r="A8" s="455" t="s">
        <v>310</v>
      </c>
      <c r="B8" s="419">
        <v>9911</v>
      </c>
      <c r="C8" s="439">
        <v>2979825.58</v>
      </c>
      <c r="D8" s="438">
        <v>66</v>
      </c>
      <c r="E8" s="439">
        <v>310240.28999999998</v>
      </c>
      <c r="F8" s="419">
        <v>2106</v>
      </c>
      <c r="G8" s="439">
        <v>927607.89</v>
      </c>
      <c r="H8" s="419">
        <v>211</v>
      </c>
      <c r="I8" s="419">
        <v>38925.86</v>
      </c>
      <c r="J8" s="419">
        <v>25</v>
      </c>
      <c r="K8" s="419">
        <v>1721.14</v>
      </c>
      <c r="L8" s="419">
        <v>703</v>
      </c>
      <c r="M8" s="419">
        <v>2639.04</v>
      </c>
      <c r="N8" s="419">
        <v>1625</v>
      </c>
      <c r="O8" s="439">
        <v>2032087.29</v>
      </c>
      <c r="P8" s="419">
        <v>598</v>
      </c>
      <c r="Q8" s="419">
        <v>98195.29</v>
      </c>
      <c r="R8" s="419">
        <v>124</v>
      </c>
      <c r="S8" s="439">
        <v>494660.29</v>
      </c>
      <c r="T8" s="438">
        <v>793</v>
      </c>
      <c r="U8" s="439">
        <v>1731728.51</v>
      </c>
      <c r="V8" s="438">
        <v>112</v>
      </c>
      <c r="W8" s="439">
        <v>503181.73</v>
      </c>
      <c r="X8" s="438">
        <v>26</v>
      </c>
      <c r="Y8" s="419">
        <v>44802.16</v>
      </c>
      <c r="Z8" s="419">
        <v>25829</v>
      </c>
      <c r="AA8" s="439">
        <v>1016537.42</v>
      </c>
      <c r="AB8" s="419">
        <v>42129</v>
      </c>
      <c r="AC8" s="440">
        <v>10182152.49</v>
      </c>
      <c r="AE8" s="534"/>
      <c r="AF8" s="535"/>
      <c r="AG8" s="534"/>
      <c r="AH8" s="535"/>
    </row>
    <row r="9" spans="1:34" s="24" customFormat="1">
      <c r="A9" s="455" t="s">
        <v>356</v>
      </c>
      <c r="B9" s="419">
        <v>10059</v>
      </c>
      <c r="C9" s="439">
        <v>3167785.41</v>
      </c>
      <c r="D9" s="438">
        <v>66</v>
      </c>
      <c r="E9" s="439">
        <v>342150.79</v>
      </c>
      <c r="F9" s="419">
        <v>2145</v>
      </c>
      <c r="G9" s="439">
        <v>981263.97</v>
      </c>
      <c r="H9" s="419">
        <v>212</v>
      </c>
      <c r="I9" s="419">
        <v>39105.11</v>
      </c>
      <c r="J9" s="419">
        <v>25</v>
      </c>
      <c r="K9" s="419">
        <v>1769.78</v>
      </c>
      <c r="L9" s="419">
        <v>740</v>
      </c>
      <c r="M9" s="419">
        <v>2753.77</v>
      </c>
      <c r="N9" s="419">
        <v>1630</v>
      </c>
      <c r="O9" s="439">
        <v>2101536.2799999998</v>
      </c>
      <c r="P9" s="419">
        <v>615</v>
      </c>
      <c r="Q9" s="419">
        <v>99802.42</v>
      </c>
      <c r="R9" s="419">
        <v>124</v>
      </c>
      <c r="S9" s="439">
        <v>509473.4</v>
      </c>
      <c r="T9" s="438">
        <v>793</v>
      </c>
      <c r="U9" s="439">
        <v>1790710.93</v>
      </c>
      <c r="V9" s="438">
        <v>119</v>
      </c>
      <c r="W9" s="439">
        <v>513076.47999999998</v>
      </c>
      <c r="X9" s="438">
        <v>26</v>
      </c>
      <c r="Y9" s="419">
        <v>45490</v>
      </c>
      <c r="Z9" s="419">
        <v>26655</v>
      </c>
      <c r="AA9" s="439">
        <v>1040909.16</v>
      </c>
      <c r="AB9" s="419">
        <v>43209</v>
      </c>
      <c r="AC9" s="440">
        <v>10635827.5</v>
      </c>
      <c r="AE9" s="534"/>
      <c r="AF9" s="535"/>
      <c r="AG9" s="534"/>
      <c r="AH9" s="535"/>
    </row>
    <row r="10" spans="1:34" s="24" customFormat="1">
      <c r="A10" s="455" t="s">
        <v>384</v>
      </c>
      <c r="B10" s="419">
        <v>10071</v>
      </c>
      <c r="C10" s="439">
        <v>3317805.32</v>
      </c>
      <c r="D10" s="438">
        <v>66</v>
      </c>
      <c r="E10" s="439">
        <v>361713.46</v>
      </c>
      <c r="F10" s="419">
        <v>2155</v>
      </c>
      <c r="G10" s="439">
        <v>1016525.73</v>
      </c>
      <c r="H10" s="419">
        <v>212</v>
      </c>
      <c r="I10" s="419">
        <v>39604.959999999999</v>
      </c>
      <c r="J10" s="419">
        <v>25</v>
      </c>
      <c r="K10" s="419">
        <v>1760.36</v>
      </c>
      <c r="L10" s="419">
        <v>746</v>
      </c>
      <c r="M10" s="419">
        <v>2879.08</v>
      </c>
      <c r="N10" s="419">
        <v>1636</v>
      </c>
      <c r="O10" s="439">
        <v>2158248.83</v>
      </c>
      <c r="P10" s="419">
        <v>624</v>
      </c>
      <c r="Q10" s="419">
        <v>101890.3</v>
      </c>
      <c r="R10" s="419">
        <v>123</v>
      </c>
      <c r="S10" s="439">
        <v>520463.14</v>
      </c>
      <c r="T10" s="438">
        <v>792</v>
      </c>
      <c r="U10" s="439">
        <v>1834368.24</v>
      </c>
      <c r="V10" s="438">
        <v>119</v>
      </c>
      <c r="W10" s="439">
        <v>524306.98</v>
      </c>
      <c r="X10" s="438">
        <v>26</v>
      </c>
      <c r="Y10" s="419">
        <v>46103.4</v>
      </c>
      <c r="Z10" s="419">
        <v>27256</v>
      </c>
      <c r="AA10" s="439">
        <v>1065804.43</v>
      </c>
      <c r="AB10" s="419">
        <v>43851</v>
      </c>
      <c r="AC10" s="440">
        <v>10991474.23</v>
      </c>
      <c r="AE10" s="534"/>
      <c r="AF10" s="535"/>
      <c r="AG10" s="534"/>
      <c r="AH10" s="535"/>
    </row>
    <row r="11" spans="1:34" s="24" customFormat="1">
      <c r="A11" s="455" t="s">
        <v>386</v>
      </c>
      <c r="B11" s="419">
        <v>9972</v>
      </c>
      <c r="C11" s="439">
        <v>3322393</v>
      </c>
      <c r="D11" s="438">
        <v>66</v>
      </c>
      <c r="E11" s="439">
        <v>368260.05</v>
      </c>
      <c r="F11" s="419">
        <v>2177</v>
      </c>
      <c r="G11" s="439">
        <v>1050353.81</v>
      </c>
      <c r="H11" s="419">
        <v>212</v>
      </c>
      <c r="I11" s="419">
        <v>40359.68</v>
      </c>
      <c r="J11" s="419">
        <v>25</v>
      </c>
      <c r="K11" s="419">
        <v>1604.49</v>
      </c>
      <c r="L11" s="419">
        <v>765</v>
      </c>
      <c r="M11" s="419">
        <v>2742.21</v>
      </c>
      <c r="N11" s="419">
        <v>1630</v>
      </c>
      <c r="O11" s="439">
        <v>2098922.56</v>
      </c>
      <c r="P11" s="419">
        <v>635</v>
      </c>
      <c r="Q11" s="439">
        <v>102139.5</v>
      </c>
      <c r="R11" s="419">
        <v>124</v>
      </c>
      <c r="S11" s="439">
        <v>513385.09</v>
      </c>
      <c r="T11" s="438">
        <v>794</v>
      </c>
      <c r="U11" s="439">
        <v>1823503.44</v>
      </c>
      <c r="V11" s="438">
        <v>115</v>
      </c>
      <c r="W11" s="439">
        <v>533973.80000000005</v>
      </c>
      <c r="X11" s="438">
        <v>26</v>
      </c>
      <c r="Y11" s="419">
        <v>42735.5</v>
      </c>
      <c r="Z11" s="419">
        <v>27814</v>
      </c>
      <c r="AA11" s="439">
        <v>1062131.21</v>
      </c>
      <c r="AB11" s="419">
        <v>44355</v>
      </c>
      <c r="AC11" s="440">
        <v>10962504.34</v>
      </c>
      <c r="AE11" s="534"/>
      <c r="AF11" s="535"/>
      <c r="AG11" s="534"/>
      <c r="AH11" s="535"/>
    </row>
    <row r="12" spans="1:34" s="24" customFormat="1">
      <c r="A12" s="455" t="s">
        <v>392</v>
      </c>
      <c r="B12" s="419">
        <v>9984</v>
      </c>
      <c r="C12" s="439">
        <v>3436257.51</v>
      </c>
      <c r="D12" s="438">
        <v>66</v>
      </c>
      <c r="E12" s="439">
        <v>382987.29</v>
      </c>
      <c r="F12" s="419">
        <v>2229</v>
      </c>
      <c r="G12" s="439">
        <v>1082379.3799999999</v>
      </c>
      <c r="H12" s="419">
        <v>211</v>
      </c>
      <c r="I12" s="419">
        <v>40576.449999999997</v>
      </c>
      <c r="J12" s="419">
        <v>25</v>
      </c>
      <c r="K12" s="419">
        <v>1828.28</v>
      </c>
      <c r="L12" s="419">
        <v>785</v>
      </c>
      <c r="M12" s="419">
        <v>2732.66</v>
      </c>
      <c r="N12" s="419">
        <v>1632</v>
      </c>
      <c r="O12" s="439">
        <v>2166199.39</v>
      </c>
      <c r="P12" s="419">
        <v>640</v>
      </c>
      <c r="Q12" s="439">
        <v>103530</v>
      </c>
      <c r="R12" s="419">
        <v>123</v>
      </c>
      <c r="S12" s="439">
        <v>527990.69999999995</v>
      </c>
      <c r="T12" s="438">
        <v>793</v>
      </c>
      <c r="U12" s="439">
        <v>1854228.43</v>
      </c>
      <c r="V12" s="438">
        <v>115</v>
      </c>
      <c r="W12" s="439">
        <v>544212.66</v>
      </c>
      <c r="X12" s="438">
        <v>26</v>
      </c>
      <c r="Y12" s="419">
        <v>36541.14</v>
      </c>
      <c r="Z12" s="419">
        <v>28257</v>
      </c>
      <c r="AA12" s="439">
        <v>1091199.3</v>
      </c>
      <c r="AB12" s="419">
        <v>44886</v>
      </c>
      <c r="AC12" s="440">
        <v>11270663.189999999</v>
      </c>
      <c r="AE12" s="534"/>
      <c r="AF12" s="535"/>
      <c r="AG12" s="534"/>
      <c r="AH12" s="535"/>
    </row>
    <row r="13" spans="1:34" s="24" customFormat="1">
      <c r="A13" s="455" t="s">
        <v>396</v>
      </c>
      <c r="B13" s="419">
        <v>10017</v>
      </c>
      <c r="C13" s="439">
        <v>3850842.89</v>
      </c>
      <c r="D13" s="438">
        <v>66</v>
      </c>
      <c r="E13" s="439">
        <v>431561.42</v>
      </c>
      <c r="F13" s="419">
        <v>2253</v>
      </c>
      <c r="G13" s="439">
        <v>1194938.6100000001</v>
      </c>
      <c r="H13" s="419">
        <v>214</v>
      </c>
      <c r="I13" s="419">
        <v>40479.72</v>
      </c>
      <c r="J13" s="419">
        <v>24</v>
      </c>
      <c r="K13" s="419">
        <v>2166.94</v>
      </c>
      <c r="L13" s="419">
        <v>794</v>
      </c>
      <c r="M13" s="419">
        <v>2928.46</v>
      </c>
      <c r="N13" s="419">
        <v>1630</v>
      </c>
      <c r="O13" s="439">
        <v>2295811.2799999998</v>
      </c>
      <c r="P13" s="419">
        <v>639</v>
      </c>
      <c r="Q13" s="439">
        <v>104591.18</v>
      </c>
      <c r="R13" s="419">
        <v>123</v>
      </c>
      <c r="S13" s="439">
        <v>532753.11</v>
      </c>
      <c r="T13" s="438">
        <v>792</v>
      </c>
      <c r="U13" s="439">
        <v>1959835.58</v>
      </c>
      <c r="V13" s="438">
        <v>113</v>
      </c>
      <c r="W13" s="439">
        <v>552864.79</v>
      </c>
      <c r="X13" s="438">
        <v>26</v>
      </c>
      <c r="Y13" s="419">
        <v>40181.519999999997</v>
      </c>
      <c r="Z13" s="419">
        <v>28643</v>
      </c>
      <c r="AA13" s="439">
        <v>1151076.6599999999</v>
      </c>
      <c r="AB13" s="419">
        <v>45334</v>
      </c>
      <c r="AC13" s="440">
        <v>12160032.16</v>
      </c>
      <c r="AE13" s="534"/>
      <c r="AF13" s="535"/>
      <c r="AG13" s="534"/>
      <c r="AH13" s="535"/>
    </row>
    <row r="14" spans="1:34" s="24" customFormat="1">
      <c r="A14" s="437">
        <v>44166</v>
      </c>
      <c r="B14" s="536">
        <v>10143</v>
      </c>
      <c r="C14" s="537">
        <v>4182213.64</v>
      </c>
      <c r="D14" s="538">
        <v>66</v>
      </c>
      <c r="E14" s="537">
        <v>462132.3</v>
      </c>
      <c r="F14" s="536">
        <v>2273</v>
      </c>
      <c r="G14" s="537">
        <v>1232956.03</v>
      </c>
      <c r="H14" s="536">
        <v>214</v>
      </c>
      <c r="I14" s="536">
        <v>40800.550000000003</v>
      </c>
      <c r="J14" s="536">
        <v>24</v>
      </c>
      <c r="K14" s="536">
        <v>2263.6999999999998</v>
      </c>
      <c r="L14" s="536">
        <v>800</v>
      </c>
      <c r="M14" s="536">
        <v>3058.38</v>
      </c>
      <c r="N14" s="536">
        <v>1633</v>
      </c>
      <c r="O14" s="537">
        <v>2392396.6</v>
      </c>
      <c r="P14" s="536">
        <v>665</v>
      </c>
      <c r="Q14" s="537">
        <v>110177.07</v>
      </c>
      <c r="R14" s="536">
        <v>123</v>
      </c>
      <c r="S14" s="537">
        <v>517550.59</v>
      </c>
      <c r="T14" s="538">
        <v>794</v>
      </c>
      <c r="U14" s="537">
        <v>2045393.74</v>
      </c>
      <c r="V14" s="538">
        <v>115</v>
      </c>
      <c r="W14" s="537">
        <v>567252.16</v>
      </c>
      <c r="X14" s="538">
        <v>27</v>
      </c>
      <c r="Y14" s="536">
        <v>41423.730000000003</v>
      </c>
      <c r="Z14" s="536">
        <v>29203</v>
      </c>
      <c r="AA14" s="537">
        <v>1186305.46</v>
      </c>
      <c r="AB14" s="536">
        <v>46080</v>
      </c>
      <c r="AC14" s="539">
        <v>12783923.949999999</v>
      </c>
      <c r="AE14" s="534"/>
      <c r="AF14" s="535"/>
      <c r="AG14" s="534"/>
      <c r="AH14" s="535"/>
    </row>
    <row r="15" spans="1:34" s="24" customFormat="1">
      <c r="A15" s="437">
        <v>44197</v>
      </c>
      <c r="B15" s="536">
        <v>10149</v>
      </c>
      <c r="C15" s="537">
        <v>4115463.43</v>
      </c>
      <c r="D15" s="538">
        <v>66</v>
      </c>
      <c r="E15" s="537">
        <v>454828.81</v>
      </c>
      <c r="F15" s="536">
        <v>2299</v>
      </c>
      <c r="G15" s="537">
        <v>1226433.27</v>
      </c>
      <c r="H15" s="536">
        <v>213</v>
      </c>
      <c r="I15" s="536">
        <v>41862.160000000003</v>
      </c>
      <c r="J15" s="536">
        <v>23</v>
      </c>
      <c r="K15" s="536">
        <v>1986.76</v>
      </c>
      <c r="L15" s="536">
        <v>790</v>
      </c>
      <c r="M15" s="536">
        <v>3064.5</v>
      </c>
      <c r="N15" s="536">
        <v>1617</v>
      </c>
      <c r="O15" s="537">
        <v>2387992.66</v>
      </c>
      <c r="P15" s="536">
        <v>651</v>
      </c>
      <c r="Q15" s="537">
        <v>103322.43</v>
      </c>
      <c r="R15" s="536">
        <v>79</v>
      </c>
      <c r="S15" s="537">
        <v>531049.03</v>
      </c>
      <c r="T15" s="538">
        <v>793</v>
      </c>
      <c r="U15" s="537">
        <v>2038213.43</v>
      </c>
      <c r="V15" s="538">
        <v>103</v>
      </c>
      <c r="W15" s="537">
        <v>577181.99</v>
      </c>
      <c r="X15" s="538">
        <v>27</v>
      </c>
      <c r="Y15" s="536">
        <v>41080.269999999997</v>
      </c>
      <c r="Z15" s="536">
        <v>29954</v>
      </c>
      <c r="AA15" s="537">
        <v>1173817.1399999999</v>
      </c>
      <c r="AB15" s="536">
        <v>46764</v>
      </c>
      <c r="AC15" s="539">
        <v>12696295.880000001</v>
      </c>
      <c r="AE15" s="534"/>
      <c r="AF15" s="535"/>
      <c r="AG15" s="534"/>
      <c r="AH15" s="535"/>
    </row>
    <row r="16" spans="1:34" s="24" customFormat="1">
      <c r="A16" s="437">
        <v>44228</v>
      </c>
      <c r="B16" s="536">
        <v>10169</v>
      </c>
      <c r="C16" s="537">
        <v>4406706.26</v>
      </c>
      <c r="D16" s="538">
        <v>66</v>
      </c>
      <c r="E16" s="537">
        <v>452758.98</v>
      </c>
      <c r="F16" s="536">
        <v>2317</v>
      </c>
      <c r="G16" s="537">
        <v>1263517.77</v>
      </c>
      <c r="H16" s="536">
        <v>216</v>
      </c>
      <c r="I16" s="536">
        <v>42089.919999999998</v>
      </c>
      <c r="J16" s="536">
        <v>23</v>
      </c>
      <c r="K16" s="536">
        <v>2263.77</v>
      </c>
      <c r="L16" s="536">
        <v>789</v>
      </c>
      <c r="M16" s="536">
        <v>3271.82</v>
      </c>
      <c r="N16" s="536">
        <v>1621</v>
      </c>
      <c r="O16" s="537">
        <v>2481119.7999999998</v>
      </c>
      <c r="P16" s="536">
        <v>672</v>
      </c>
      <c r="Q16" s="537">
        <v>117561.47</v>
      </c>
      <c r="R16" s="536">
        <v>79</v>
      </c>
      <c r="S16" s="537">
        <v>546317.87</v>
      </c>
      <c r="T16" s="538">
        <v>794</v>
      </c>
      <c r="U16" s="537">
        <v>2139756.15</v>
      </c>
      <c r="V16" s="538">
        <v>102</v>
      </c>
      <c r="W16" s="537">
        <v>589969.81999999995</v>
      </c>
      <c r="X16" s="538">
        <v>27</v>
      </c>
      <c r="Y16" s="536">
        <v>42069.59</v>
      </c>
      <c r="Z16" s="536">
        <v>30703</v>
      </c>
      <c r="AA16" s="537">
        <v>1211465.75</v>
      </c>
      <c r="AB16" s="536">
        <v>47578</v>
      </c>
      <c r="AC16" s="539">
        <v>13298868.970000001</v>
      </c>
      <c r="AE16" s="534"/>
      <c r="AF16" s="535"/>
      <c r="AG16" s="534"/>
      <c r="AH16" s="535"/>
    </row>
    <row r="17" spans="1:30">
      <c r="A17" s="21" t="s">
        <v>545</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row>
    <row r="18" spans="1:30">
      <c r="A18" s="21" t="s">
        <v>682</v>
      </c>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row>
    <row r="19" spans="1:30">
      <c r="A19" s="21" t="s">
        <v>683</v>
      </c>
    </row>
    <row r="20" spans="1:30">
      <c r="A20" s="21" t="s">
        <v>1173</v>
      </c>
    </row>
    <row r="21" spans="1:30">
      <c r="A21" s="21" t="s">
        <v>684</v>
      </c>
    </row>
    <row r="25" spans="1:30">
      <c r="B25" s="611"/>
    </row>
    <row r="26" spans="1:30">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1:30">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row>
  </sheetData>
  <mergeCells count="16">
    <mergeCell ref="AB2:AC2"/>
    <mergeCell ref="A1:Z1"/>
    <mergeCell ref="A2:A3"/>
    <mergeCell ref="B2:C2"/>
    <mergeCell ref="D2:E2"/>
    <mergeCell ref="F2:G2"/>
    <mergeCell ref="H2:I2"/>
    <mergeCell ref="J2:K2"/>
    <mergeCell ref="L2:M2"/>
    <mergeCell ref="N2:O2"/>
    <mergeCell ref="P2:Q2"/>
    <mergeCell ref="R2:S2"/>
    <mergeCell ref="T2:U2"/>
    <mergeCell ref="V2:W2"/>
    <mergeCell ref="X2:Y2"/>
    <mergeCell ref="Z2:AA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V20"/>
  <sheetViews>
    <sheetView zoomScaleNormal="100" workbookViewId="0">
      <selection activeCell="J25" sqref="J25"/>
    </sheetView>
  </sheetViews>
  <sheetFormatPr defaultColWidth="8.85546875" defaultRowHeight="15"/>
  <cols>
    <col min="1" max="11" width="14.7109375" style="21" bestFit="1" customWidth="1"/>
    <col min="12" max="12" width="4.7109375" style="21" bestFit="1" customWidth="1"/>
    <col min="13" max="14" width="11.5703125" style="21" bestFit="1" customWidth="1"/>
    <col min="15" max="22" width="9" style="21" bestFit="1" customWidth="1"/>
    <col min="23" max="16384" width="8.85546875" style="21"/>
  </cols>
  <sheetData>
    <row r="1" spans="1:22" ht="13.5" customHeight="1">
      <c r="A1" s="1179" t="s">
        <v>685</v>
      </c>
      <c r="B1" s="1179"/>
      <c r="C1" s="1179"/>
      <c r="D1" s="1179"/>
      <c r="E1" s="1179"/>
    </row>
    <row r="2" spans="1:22" ht="13.5" customHeight="1">
      <c r="A2" s="382"/>
      <c r="B2" s="382"/>
      <c r="C2" s="382"/>
      <c r="D2" s="382"/>
      <c r="E2" s="382"/>
      <c r="K2" s="540" t="s">
        <v>686</v>
      </c>
    </row>
    <row r="3" spans="1:22" s="22" customFormat="1" ht="16.5" customHeight="1">
      <c r="A3" s="1336" t="s">
        <v>51</v>
      </c>
      <c r="B3" s="1400" t="s">
        <v>687</v>
      </c>
      <c r="C3" s="1404"/>
      <c r="D3" s="1401"/>
      <c r="E3" s="1331" t="s">
        <v>688</v>
      </c>
      <c r="F3" s="1332"/>
      <c r="G3" s="1333"/>
      <c r="H3" s="1400" t="s">
        <v>689</v>
      </c>
      <c r="I3" s="1404"/>
      <c r="J3" s="1401"/>
      <c r="K3" s="1338" t="s">
        <v>690</v>
      </c>
    </row>
    <row r="4" spans="1:22" s="22" customFormat="1" ht="27.75" customHeight="1">
      <c r="A4" s="1337"/>
      <c r="B4" s="398" t="s">
        <v>691</v>
      </c>
      <c r="C4" s="398" t="s">
        <v>692</v>
      </c>
      <c r="D4" s="398" t="s">
        <v>53</v>
      </c>
      <c r="E4" s="398" t="s">
        <v>691</v>
      </c>
      <c r="F4" s="398" t="s">
        <v>692</v>
      </c>
      <c r="G4" s="398" t="s">
        <v>53</v>
      </c>
      <c r="H4" s="398" t="s">
        <v>691</v>
      </c>
      <c r="I4" s="398" t="s">
        <v>692</v>
      </c>
      <c r="J4" s="398" t="s">
        <v>53</v>
      </c>
      <c r="K4" s="1339"/>
    </row>
    <row r="5" spans="1:22" s="22" customFormat="1" ht="18" customHeight="1">
      <c r="A5" s="455" t="s">
        <v>58</v>
      </c>
      <c r="B5" s="541">
        <v>14989990.49</v>
      </c>
      <c r="C5" s="541">
        <v>3823467.281</v>
      </c>
      <c r="D5" s="541">
        <v>18813457.77</v>
      </c>
      <c r="E5" s="541">
        <v>14965931.060000001</v>
      </c>
      <c r="F5" s="541">
        <v>3760225.8909999998</v>
      </c>
      <c r="G5" s="541">
        <v>18726156.949999999</v>
      </c>
      <c r="H5" s="541">
        <v>24059.435409999998</v>
      </c>
      <c r="I5" s="541">
        <v>63241.390570000003</v>
      </c>
      <c r="J5" s="541">
        <v>87300.825979999994</v>
      </c>
      <c r="K5" s="541">
        <v>2226202.8650000002</v>
      </c>
      <c r="M5" s="37"/>
      <c r="N5" s="37"/>
      <c r="O5" s="37"/>
      <c r="P5" s="37"/>
      <c r="Q5" s="37"/>
      <c r="R5" s="37"/>
      <c r="S5" s="37"/>
      <c r="T5" s="37"/>
      <c r="U5" s="37"/>
      <c r="V5" s="37"/>
    </row>
    <row r="6" spans="1:22" s="22" customFormat="1" ht="18" customHeight="1">
      <c r="A6" s="455" t="s">
        <v>61</v>
      </c>
      <c r="B6" s="541">
        <f>SUM(B7:B20)</f>
        <v>6336774.0712775681</v>
      </c>
      <c r="C6" s="541">
        <f>SUM(C7:C20)</f>
        <v>1459185.4866366377</v>
      </c>
      <c r="D6" s="541">
        <f>SUM(D7:D20)</f>
        <v>7795959.5579142058</v>
      </c>
      <c r="E6" s="541">
        <f>SUM(E7:E20)</f>
        <v>6160190.5365110096</v>
      </c>
      <c r="F6" s="541">
        <f t="shared" ref="F6:J6" si="0">SUM(F7:F20)</f>
        <v>1391280.6724546875</v>
      </c>
      <c r="G6" s="541">
        <f t="shared" si="0"/>
        <v>7551471.2089656964</v>
      </c>
      <c r="H6" s="541">
        <f t="shared" si="0"/>
        <v>176583.53426652707</v>
      </c>
      <c r="I6" s="541">
        <f t="shared" si="0"/>
        <v>67904.814511950157</v>
      </c>
      <c r="J6" s="541">
        <f t="shared" si="0"/>
        <v>244488.34884847724</v>
      </c>
      <c r="K6" s="541">
        <f>K17</f>
        <v>3164113.7239999999</v>
      </c>
      <c r="M6" s="37"/>
      <c r="N6" s="37"/>
      <c r="O6" s="37"/>
      <c r="P6" s="37"/>
      <c r="Q6" s="37"/>
      <c r="R6" s="37"/>
      <c r="S6" s="37"/>
      <c r="T6" s="37"/>
      <c r="U6" s="37"/>
      <c r="V6" s="37"/>
    </row>
    <row r="7" spans="1:22" s="22" customFormat="1" ht="18" customHeight="1">
      <c r="A7" s="542" t="s">
        <v>60</v>
      </c>
      <c r="B7" s="541">
        <v>614258.18709999998</v>
      </c>
      <c r="C7" s="541">
        <v>206442.2309</v>
      </c>
      <c r="D7" s="541">
        <v>820700.4179</v>
      </c>
      <c r="E7" s="541">
        <v>593456.62309999997</v>
      </c>
      <c r="F7" s="541">
        <v>181244.3076</v>
      </c>
      <c r="G7" s="541">
        <v>774700.93070000003</v>
      </c>
      <c r="H7" s="541">
        <v>20801.56393</v>
      </c>
      <c r="I7" s="541">
        <v>25197.923299999999</v>
      </c>
      <c r="J7" s="541">
        <v>45999.487229999999</v>
      </c>
      <c r="K7" s="541">
        <v>2393485.5430000001</v>
      </c>
      <c r="M7" s="37"/>
      <c r="N7" s="37"/>
      <c r="O7" s="37"/>
      <c r="P7" s="37"/>
      <c r="Q7" s="37"/>
      <c r="R7" s="37"/>
      <c r="S7" s="37"/>
      <c r="T7" s="37"/>
      <c r="U7" s="37"/>
      <c r="V7" s="37"/>
    </row>
    <row r="8" spans="1:22" s="22" customFormat="1" ht="18" customHeight="1">
      <c r="A8" s="455" t="s">
        <v>59</v>
      </c>
      <c r="B8" s="541">
        <v>619156.47290000005</v>
      </c>
      <c r="C8" s="541">
        <v>246977.14910000001</v>
      </c>
      <c r="D8" s="541">
        <v>866133.62210000004</v>
      </c>
      <c r="E8" s="541">
        <v>562437.9669</v>
      </c>
      <c r="F8" s="541">
        <v>232882.14240000001</v>
      </c>
      <c r="G8" s="541">
        <v>795320.10930000001</v>
      </c>
      <c r="H8" s="541">
        <v>56718.506070000003</v>
      </c>
      <c r="I8" s="541">
        <v>14095.0067</v>
      </c>
      <c r="J8" s="541">
        <v>70813.512770000001</v>
      </c>
      <c r="K8" s="541">
        <v>2454757.5299999998</v>
      </c>
      <c r="M8" s="37"/>
      <c r="N8" s="37"/>
      <c r="O8" s="37"/>
      <c r="P8" s="37"/>
      <c r="Q8" s="37"/>
      <c r="R8" s="37"/>
      <c r="S8" s="37"/>
      <c r="T8" s="37"/>
      <c r="U8" s="37"/>
      <c r="V8" s="37"/>
    </row>
    <row r="9" spans="1:22" s="22" customFormat="1" ht="18" customHeight="1">
      <c r="A9" s="455" t="s">
        <v>310</v>
      </c>
      <c r="B9" s="541">
        <v>711244.24100000004</v>
      </c>
      <c r="C9" s="541">
        <v>249561.2634</v>
      </c>
      <c r="D9" s="541">
        <v>960805.505</v>
      </c>
      <c r="E9" s="541">
        <v>701503.31</v>
      </c>
      <c r="F9" s="541">
        <v>252036.22399999999</v>
      </c>
      <c r="G9" s="541">
        <v>953539.53399999999</v>
      </c>
      <c r="H9" s="541">
        <v>9740.9320599999992</v>
      </c>
      <c r="I9" s="541">
        <v>-2474.96056</v>
      </c>
      <c r="J9" s="541">
        <v>7265.9714999999997</v>
      </c>
      <c r="K9" s="541">
        <v>2548848.4339999999</v>
      </c>
      <c r="M9" s="37"/>
      <c r="N9" s="37"/>
      <c r="O9" s="37"/>
      <c r="P9" s="37"/>
      <c r="Q9" s="37"/>
      <c r="R9" s="37"/>
      <c r="S9" s="37"/>
      <c r="T9" s="37"/>
      <c r="U9" s="37"/>
      <c r="V9" s="37"/>
    </row>
    <row r="10" spans="1:22" s="22" customFormat="1" ht="18" customHeight="1">
      <c r="A10" s="455" t="s">
        <v>356</v>
      </c>
      <c r="B10" s="541">
        <v>518550.88099999999</v>
      </c>
      <c r="C10" s="541">
        <v>192070.14939999999</v>
      </c>
      <c r="D10" s="541">
        <v>710621.02899999998</v>
      </c>
      <c r="E10" s="541">
        <v>462909.77</v>
      </c>
      <c r="F10" s="541">
        <v>157898.97150000001</v>
      </c>
      <c r="G10" s="541">
        <v>620808.74100000004</v>
      </c>
      <c r="H10" s="541">
        <v>55641.10914</v>
      </c>
      <c r="I10" s="541">
        <v>34171.177799999998</v>
      </c>
      <c r="J10" s="541">
        <v>89812.286999999997</v>
      </c>
      <c r="K10" s="541">
        <v>2711894.15</v>
      </c>
      <c r="M10" s="37"/>
      <c r="N10" s="37"/>
      <c r="O10" s="37"/>
      <c r="P10" s="37"/>
      <c r="Q10" s="37"/>
      <c r="R10" s="37"/>
      <c r="S10" s="37"/>
      <c r="T10" s="37"/>
      <c r="U10" s="37"/>
      <c r="V10" s="37"/>
    </row>
    <row r="11" spans="1:22" s="22" customFormat="1" ht="18" customHeight="1">
      <c r="A11" s="455" t="s">
        <v>384</v>
      </c>
      <c r="B11" s="541">
        <v>404939.098</v>
      </c>
      <c r="C11" s="541">
        <v>151656.2072</v>
      </c>
      <c r="D11" s="541">
        <v>556595.30599999998</v>
      </c>
      <c r="E11" s="541">
        <v>414119.41</v>
      </c>
      <c r="F11" s="541">
        <v>157028.75450000001</v>
      </c>
      <c r="G11" s="541">
        <v>571148.16500000004</v>
      </c>
      <c r="H11" s="541">
        <v>-9180.3112000000001</v>
      </c>
      <c r="I11" s="541">
        <v>-5372.5372399999997</v>
      </c>
      <c r="J11" s="541">
        <v>-14552.8485</v>
      </c>
      <c r="K11" s="541">
        <v>2749388.53</v>
      </c>
      <c r="M11" s="37"/>
      <c r="N11" s="37"/>
      <c r="O11" s="37"/>
      <c r="P11" s="37"/>
      <c r="Q11" s="37"/>
      <c r="R11" s="37"/>
      <c r="S11" s="37"/>
      <c r="T11" s="37"/>
      <c r="U11" s="37"/>
      <c r="V11" s="37"/>
    </row>
    <row r="12" spans="1:22" s="24" customFormat="1" ht="18" customHeight="1">
      <c r="A12" s="455" t="s">
        <v>386</v>
      </c>
      <c r="B12" s="541">
        <v>496584.97100000002</v>
      </c>
      <c r="C12" s="541">
        <v>169773.86259999999</v>
      </c>
      <c r="D12" s="541">
        <v>666358.83299999998</v>
      </c>
      <c r="E12" s="541">
        <v>534398.20700000005</v>
      </c>
      <c r="F12" s="541">
        <v>184051.8357</v>
      </c>
      <c r="G12" s="541">
        <v>718450.04299999995</v>
      </c>
      <c r="H12" s="541">
        <v>-37813.235030000003</v>
      </c>
      <c r="I12" s="541">
        <v>-14277.983109999999</v>
      </c>
      <c r="J12" s="541">
        <v>-52091.218099999998</v>
      </c>
      <c r="K12" s="541">
        <v>2685981.915</v>
      </c>
      <c r="M12" s="37"/>
      <c r="N12" s="37"/>
      <c r="O12" s="37"/>
      <c r="P12" s="37"/>
      <c r="Q12" s="37"/>
      <c r="R12" s="37"/>
      <c r="S12" s="37"/>
      <c r="T12" s="37"/>
      <c r="U12" s="37"/>
      <c r="V12" s="37"/>
    </row>
    <row r="13" spans="1:22" s="24" customFormat="1" ht="18" customHeight="1">
      <c r="A13" s="455" t="s">
        <v>392</v>
      </c>
      <c r="B13" s="541">
        <v>470512.67200000002</v>
      </c>
      <c r="C13" s="541">
        <v>172724.8222</v>
      </c>
      <c r="D13" s="541">
        <v>643237.495</v>
      </c>
      <c r="E13" s="541">
        <v>391937.76199999999</v>
      </c>
      <c r="F13" s="541">
        <v>152723.73319999999</v>
      </c>
      <c r="G13" s="541">
        <v>544661.495</v>
      </c>
      <c r="H13" s="541">
        <v>78574.908630000005</v>
      </c>
      <c r="I13" s="541">
        <v>20001.089029999999</v>
      </c>
      <c r="J13" s="541">
        <v>98575.997600000002</v>
      </c>
      <c r="K13" s="541">
        <v>2822940.8739999998</v>
      </c>
      <c r="M13" s="37"/>
      <c r="N13" s="37"/>
      <c r="O13" s="37"/>
      <c r="P13" s="37"/>
      <c r="Q13" s="37"/>
      <c r="R13" s="37"/>
      <c r="S13" s="37"/>
      <c r="T13" s="37"/>
      <c r="U13" s="37"/>
      <c r="V13" s="37"/>
    </row>
    <row r="14" spans="1:22" s="24" customFormat="1" ht="18" customHeight="1">
      <c r="A14" s="455" t="s">
        <v>396</v>
      </c>
      <c r="B14" s="541">
        <v>881629.52300000004</v>
      </c>
      <c r="C14" s="541">
        <v>-315250.59179999999</v>
      </c>
      <c r="D14" s="541">
        <v>566378.93099999998</v>
      </c>
      <c r="E14" s="541">
        <v>843327.44400000002</v>
      </c>
      <c r="F14" s="541">
        <v>-304142.62790000002</v>
      </c>
      <c r="G14" s="541">
        <v>539184.81599999999</v>
      </c>
      <c r="H14" s="541">
        <v>38302.088600000003</v>
      </c>
      <c r="I14" s="541">
        <v>-11107.963460000001</v>
      </c>
      <c r="J14" s="541">
        <v>27194.125100000001</v>
      </c>
      <c r="K14" s="541">
        <v>3000904.44</v>
      </c>
      <c r="M14" s="37"/>
      <c r="N14" s="37"/>
      <c r="O14" s="37"/>
      <c r="P14" s="37"/>
      <c r="Q14" s="37"/>
      <c r="R14" s="37"/>
      <c r="S14" s="37"/>
      <c r="T14" s="37"/>
      <c r="U14" s="37"/>
      <c r="V14" s="37"/>
    </row>
    <row r="15" spans="1:22" s="24" customFormat="1" ht="18" customHeight="1">
      <c r="A15" s="437">
        <v>44166</v>
      </c>
      <c r="B15" s="541">
        <v>615217.76927756798</v>
      </c>
      <c r="C15" s="541">
        <v>141353.7686366376</v>
      </c>
      <c r="D15" s="541">
        <v>756571.53791420627</v>
      </c>
      <c r="E15" s="541">
        <v>615323.12651100941</v>
      </c>
      <c r="F15" s="541">
        <v>138280.37245468749</v>
      </c>
      <c r="G15" s="541">
        <v>753603.49896569643</v>
      </c>
      <c r="H15" s="541">
        <v>-105.36623347288696</v>
      </c>
      <c r="I15" s="541">
        <v>3073.3957219501754</v>
      </c>
      <c r="J15" s="541">
        <v>2968.0295484772651</v>
      </c>
      <c r="K15" s="541">
        <v>3102475.3625558796</v>
      </c>
      <c r="M15" s="37"/>
      <c r="N15" s="37"/>
      <c r="O15" s="37"/>
      <c r="P15" s="37"/>
      <c r="Q15" s="37"/>
      <c r="R15" s="37"/>
      <c r="S15" s="37"/>
      <c r="T15" s="37"/>
      <c r="U15" s="37"/>
      <c r="V15" s="37"/>
    </row>
    <row r="16" spans="1:22" s="24" customFormat="1" ht="18" customHeight="1">
      <c r="A16" s="437">
        <v>44197</v>
      </c>
      <c r="B16" s="541">
        <v>512121.40600000002</v>
      </c>
      <c r="C16" s="541">
        <v>135164.90599999999</v>
      </c>
      <c r="D16" s="541">
        <v>647286.31200000003</v>
      </c>
      <c r="E16" s="541">
        <v>549476.23600000003</v>
      </c>
      <c r="F16" s="541">
        <v>133397.17300000001</v>
      </c>
      <c r="G16" s="541">
        <v>682873.40800000005</v>
      </c>
      <c r="H16" s="541">
        <v>-37354.83</v>
      </c>
      <c r="I16" s="541">
        <v>1767.73424</v>
      </c>
      <c r="J16" s="541">
        <v>-35587.095699999998</v>
      </c>
      <c r="K16" s="541">
        <v>3050130.074</v>
      </c>
      <c r="M16" s="37"/>
      <c r="N16" s="37"/>
      <c r="O16" s="37"/>
      <c r="P16" s="37"/>
      <c r="Q16" s="37"/>
      <c r="R16" s="37"/>
      <c r="S16" s="37"/>
      <c r="T16" s="37"/>
      <c r="U16" s="37"/>
      <c r="V16" s="37"/>
    </row>
    <row r="17" spans="1:22" s="24" customFormat="1" ht="18" customHeight="1">
      <c r="A17" s="437">
        <v>44228</v>
      </c>
      <c r="B17" s="541">
        <v>492558.85</v>
      </c>
      <c r="C17" s="541">
        <v>108711.719</v>
      </c>
      <c r="D17" s="541">
        <v>601270.56900000002</v>
      </c>
      <c r="E17" s="541">
        <v>491300.68099999998</v>
      </c>
      <c r="F17" s="541">
        <v>105879.78599999999</v>
      </c>
      <c r="G17" s="541">
        <v>597180.46799999999</v>
      </c>
      <c r="H17" s="541">
        <v>1258.1683</v>
      </c>
      <c r="I17" s="541">
        <v>2831.9320899999998</v>
      </c>
      <c r="J17" s="541">
        <v>4090.1003999999998</v>
      </c>
      <c r="K17" s="541">
        <v>3164113.7239999999</v>
      </c>
      <c r="M17" s="37"/>
      <c r="N17" s="37"/>
      <c r="O17" s="37"/>
      <c r="P17" s="37"/>
      <c r="Q17" s="37"/>
      <c r="R17" s="37"/>
      <c r="S17" s="37"/>
      <c r="T17" s="37"/>
      <c r="U17" s="37"/>
      <c r="V17" s="37"/>
    </row>
    <row r="18" spans="1:22" s="22" customFormat="1">
      <c r="A18" s="29" t="s">
        <v>519</v>
      </c>
      <c r="B18" s="35"/>
      <c r="C18" s="35"/>
      <c r="D18" s="35"/>
      <c r="E18" s="35"/>
      <c r="F18" s="35"/>
      <c r="G18" s="35"/>
      <c r="H18" s="34"/>
      <c r="I18" s="34"/>
      <c r="J18" s="34"/>
      <c r="K18" s="35"/>
    </row>
    <row r="19" spans="1:22" s="22" customFormat="1">
      <c r="A19" s="1180" t="s">
        <v>1173</v>
      </c>
      <c r="B19" s="1180"/>
      <c r="C19" s="1180"/>
      <c r="D19" s="1180"/>
      <c r="E19" s="1180"/>
    </row>
    <row r="20" spans="1:22" s="22" customFormat="1">
      <c r="A20" s="21" t="s">
        <v>43</v>
      </c>
      <c r="B20" s="21"/>
      <c r="C20" s="21"/>
      <c r="D20" s="21"/>
      <c r="E20" s="21"/>
      <c r="F20" s="21"/>
      <c r="G20" s="21"/>
      <c r="H20" s="21"/>
      <c r="I20" s="21"/>
      <c r="J20" s="21"/>
      <c r="K20" s="21"/>
    </row>
  </sheetData>
  <mergeCells count="7">
    <mergeCell ref="H3:J3"/>
    <mergeCell ref="K3:K4"/>
    <mergeCell ref="A19:E19"/>
    <mergeCell ref="A1:E1"/>
    <mergeCell ref="A3:A4"/>
    <mergeCell ref="B3:D3"/>
    <mergeCell ref="E3:G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N100"/>
  <sheetViews>
    <sheetView zoomScaleNormal="100" workbookViewId="0">
      <pane xSplit="2" ySplit="4" topLeftCell="E73" activePane="bottomRight" state="frozen"/>
      <selection pane="topRight"/>
      <selection pane="bottomLeft"/>
      <selection pane="bottomRight" activeCell="K92" sqref="K92"/>
    </sheetView>
  </sheetViews>
  <sheetFormatPr defaultColWidth="8.85546875" defaultRowHeight="15"/>
  <cols>
    <col min="1" max="1" width="8.85546875" style="360"/>
    <col min="2" max="2" width="31.28515625" style="360" customWidth="1"/>
    <col min="3" max="3" width="11" style="360" bestFit="1" customWidth="1"/>
    <col min="4" max="4" width="12.85546875" style="360" bestFit="1" customWidth="1"/>
    <col min="5" max="5" width="16.5703125" style="360" customWidth="1"/>
    <col min="6" max="6" width="13.5703125" style="360" bestFit="1" customWidth="1"/>
    <col min="7" max="7" width="12.42578125" style="360" bestFit="1" customWidth="1"/>
    <col min="8" max="8" width="14.28515625" style="360" bestFit="1" customWidth="1"/>
    <col min="9" max="9" width="11" style="364" bestFit="1" customWidth="1"/>
    <col min="10" max="10" width="12.85546875" style="364" bestFit="1" customWidth="1"/>
    <col min="11" max="11" width="10.7109375" style="360" bestFit="1" customWidth="1"/>
    <col min="12" max="12" width="11.5703125" style="360" bestFit="1" customWidth="1"/>
    <col min="13" max="13" width="12.42578125" style="360" bestFit="1" customWidth="1"/>
    <col min="14" max="14" width="14.28515625" style="360" bestFit="1" customWidth="1"/>
    <col min="15" max="16384" width="8.85546875" style="360"/>
  </cols>
  <sheetData>
    <row r="1" spans="1:14" s="358" customFormat="1">
      <c r="A1" s="649" t="s">
        <v>693</v>
      </c>
      <c r="I1" s="359"/>
      <c r="J1" s="359"/>
    </row>
    <row r="2" spans="1:14" s="358" customFormat="1">
      <c r="A2" s="1405" t="s">
        <v>694</v>
      </c>
      <c r="B2" s="1406" t="s">
        <v>695</v>
      </c>
      <c r="C2" s="1407" t="s">
        <v>58</v>
      </c>
      <c r="D2" s="1407"/>
      <c r="E2" s="1407"/>
      <c r="F2" s="1407"/>
      <c r="G2" s="1407"/>
      <c r="H2" s="1407"/>
      <c r="I2" s="1408" t="s">
        <v>61</v>
      </c>
      <c r="J2" s="1408"/>
      <c r="K2" s="1408"/>
      <c r="L2" s="1408"/>
      <c r="M2" s="1408"/>
      <c r="N2" s="1408"/>
    </row>
    <row r="3" spans="1:14" s="358" customFormat="1" ht="78" customHeight="1">
      <c r="A3" s="1405"/>
      <c r="B3" s="1406"/>
      <c r="C3" s="543" t="s">
        <v>696</v>
      </c>
      <c r="D3" s="543" t="s">
        <v>697</v>
      </c>
      <c r="E3" s="543" t="s">
        <v>698</v>
      </c>
      <c r="F3" s="543" t="s">
        <v>699</v>
      </c>
      <c r="G3" s="543" t="s">
        <v>700</v>
      </c>
      <c r="H3" s="543" t="s">
        <v>701</v>
      </c>
      <c r="I3" s="543" t="s">
        <v>696</v>
      </c>
      <c r="J3" s="543" t="s">
        <v>697</v>
      </c>
      <c r="K3" s="543" t="s">
        <v>698</v>
      </c>
      <c r="L3" s="543" t="s">
        <v>699</v>
      </c>
      <c r="M3" s="543" t="s">
        <v>700</v>
      </c>
      <c r="N3" s="543" t="s">
        <v>701</v>
      </c>
    </row>
    <row r="4" spans="1:14" s="358" customFormat="1">
      <c r="A4" s="544" t="s">
        <v>702</v>
      </c>
      <c r="B4" s="545" t="s">
        <v>703</v>
      </c>
      <c r="C4" s="545"/>
      <c r="D4" s="545"/>
      <c r="E4" s="545"/>
      <c r="F4" s="545"/>
      <c r="G4" s="545"/>
      <c r="H4" s="545"/>
      <c r="I4" s="546"/>
      <c r="J4" s="546"/>
      <c r="K4" s="545"/>
      <c r="L4" s="545"/>
      <c r="M4" s="545"/>
      <c r="N4" s="545"/>
    </row>
    <row r="5" spans="1:14">
      <c r="A5" s="543" t="s">
        <v>704</v>
      </c>
      <c r="B5" s="547" t="s">
        <v>705</v>
      </c>
      <c r="C5" s="548"/>
      <c r="D5" s="548"/>
      <c r="E5" s="548"/>
      <c r="F5" s="548"/>
      <c r="G5" s="548"/>
      <c r="H5" s="548"/>
      <c r="I5" s="548"/>
      <c r="J5" s="548"/>
      <c r="K5" s="548"/>
      <c r="L5" s="548"/>
      <c r="M5" s="548"/>
      <c r="N5" s="548"/>
    </row>
    <row r="6" spans="1:14">
      <c r="A6" s="549">
        <v>1</v>
      </c>
      <c r="B6" s="550" t="s">
        <v>706</v>
      </c>
      <c r="C6" s="548">
        <v>30</v>
      </c>
      <c r="D6" s="548">
        <v>86255</v>
      </c>
      <c r="E6" s="548">
        <v>3104154.0667759995</v>
      </c>
      <c r="F6" s="548">
        <v>3036499.7779539716</v>
      </c>
      <c r="G6" s="548">
        <v>67654.28882202816</v>
      </c>
      <c r="H6" s="548">
        <v>80174.192291984597</v>
      </c>
      <c r="I6" s="548">
        <v>30</v>
      </c>
      <c r="J6" s="548">
        <v>122069</v>
      </c>
      <c r="K6" s="548">
        <v>2833740.8511537975</v>
      </c>
      <c r="L6" s="548">
        <v>2850455.3871251284</v>
      </c>
      <c r="M6" s="548">
        <v>-16714.535971330606</v>
      </c>
      <c r="N6" s="548">
        <v>65655.125241225673</v>
      </c>
    </row>
    <row r="7" spans="1:14">
      <c r="A7" s="549">
        <v>2</v>
      </c>
      <c r="B7" s="550" t="s">
        <v>707</v>
      </c>
      <c r="C7" s="548">
        <v>39</v>
      </c>
      <c r="D7" s="548">
        <v>1815547</v>
      </c>
      <c r="E7" s="548">
        <v>14430056.329323001</v>
      </c>
      <c r="F7" s="548">
        <v>14505186.054505004</v>
      </c>
      <c r="G7" s="548">
        <v>-75129.725182001814</v>
      </c>
      <c r="H7" s="548">
        <v>334725.3213015318</v>
      </c>
      <c r="I7" s="548">
        <v>38</v>
      </c>
      <c r="J7" s="548">
        <v>2235357</v>
      </c>
      <c r="K7" s="548">
        <v>3326293.0132960365</v>
      </c>
      <c r="L7" s="548">
        <v>3319255.2401543041</v>
      </c>
      <c r="M7" s="548">
        <v>7037.7731417317282</v>
      </c>
      <c r="N7" s="548">
        <v>355554.08023487485</v>
      </c>
    </row>
    <row r="8" spans="1:14">
      <c r="A8" s="549">
        <v>3</v>
      </c>
      <c r="B8" s="550" t="s">
        <v>708</v>
      </c>
      <c r="C8" s="548">
        <v>29</v>
      </c>
      <c r="D8" s="548">
        <v>650202</v>
      </c>
      <c r="E8" s="548">
        <v>185685.09487737255</v>
      </c>
      <c r="F8" s="548">
        <v>195237.94583798823</v>
      </c>
      <c r="G8" s="548">
        <v>-9552.8509606156586</v>
      </c>
      <c r="H8" s="548">
        <v>72226.364568975245</v>
      </c>
      <c r="I8" s="548">
        <v>29</v>
      </c>
      <c r="J8" s="548">
        <v>797739</v>
      </c>
      <c r="K8" s="548">
        <v>181453.2801013737</v>
      </c>
      <c r="L8" s="548">
        <v>160536.72660285712</v>
      </c>
      <c r="M8" s="548">
        <v>20916.553498516518</v>
      </c>
      <c r="N8" s="548">
        <v>98260.028552466407</v>
      </c>
    </row>
    <row r="9" spans="1:14">
      <c r="A9" s="549">
        <v>4</v>
      </c>
      <c r="B9" s="550" t="s">
        <v>709</v>
      </c>
      <c r="C9" s="548">
        <v>26</v>
      </c>
      <c r="D9" s="548">
        <v>963640</v>
      </c>
      <c r="E9" s="548">
        <v>127452.33041418077</v>
      </c>
      <c r="F9" s="548">
        <v>136233.17545214473</v>
      </c>
      <c r="G9" s="548">
        <v>-8780.8450379639798</v>
      </c>
      <c r="H9" s="548">
        <v>81371.187137965753</v>
      </c>
      <c r="I9" s="548">
        <v>25</v>
      </c>
      <c r="J9" s="548">
        <v>1240134</v>
      </c>
      <c r="K9" s="548">
        <v>259100.66598784103</v>
      </c>
      <c r="L9" s="548">
        <v>201699.47445990329</v>
      </c>
      <c r="M9" s="548">
        <v>57401.191527937823</v>
      </c>
      <c r="N9" s="548">
        <v>145362.45050925657</v>
      </c>
    </row>
    <row r="10" spans="1:14">
      <c r="A10" s="549">
        <v>5</v>
      </c>
      <c r="B10" s="550" t="s">
        <v>710</v>
      </c>
      <c r="C10" s="548">
        <v>20</v>
      </c>
      <c r="D10" s="548">
        <v>350429</v>
      </c>
      <c r="E10" s="548">
        <v>193476.63954390472</v>
      </c>
      <c r="F10" s="548">
        <v>193561.71436373022</v>
      </c>
      <c r="G10" s="548">
        <v>-85.074819825480972</v>
      </c>
      <c r="H10" s="548">
        <v>57016.643850834022</v>
      </c>
      <c r="I10" s="548">
        <v>19</v>
      </c>
      <c r="J10" s="548">
        <v>480717</v>
      </c>
      <c r="K10" s="548">
        <v>241836.80633520504</v>
      </c>
      <c r="L10" s="548">
        <v>206155.31318460903</v>
      </c>
      <c r="M10" s="548">
        <v>35681.493150596056</v>
      </c>
      <c r="N10" s="548">
        <v>96410.483882207162</v>
      </c>
    </row>
    <row r="11" spans="1:14">
      <c r="A11" s="549">
        <v>6</v>
      </c>
      <c r="B11" s="550" t="s">
        <v>711</v>
      </c>
      <c r="C11" s="548">
        <v>28</v>
      </c>
      <c r="D11" s="548">
        <v>359856</v>
      </c>
      <c r="E11" s="548">
        <v>60309.593780412593</v>
      </c>
      <c r="F11" s="548">
        <v>51733.484357941859</v>
      </c>
      <c r="G11" s="548">
        <v>8576.1094224707285</v>
      </c>
      <c r="H11" s="548">
        <v>93444.339442586293</v>
      </c>
      <c r="I11" s="548">
        <v>27</v>
      </c>
      <c r="J11" s="548">
        <v>710466</v>
      </c>
      <c r="K11" s="548">
        <v>145509.6788437317</v>
      </c>
      <c r="L11" s="548">
        <v>93084.213738568709</v>
      </c>
      <c r="M11" s="548">
        <v>52425.465105162992</v>
      </c>
      <c r="N11" s="548">
        <v>153714.17604594509</v>
      </c>
    </row>
    <row r="12" spans="1:14">
      <c r="A12" s="549">
        <v>7</v>
      </c>
      <c r="B12" s="550" t="s">
        <v>712</v>
      </c>
      <c r="C12" s="548">
        <v>18</v>
      </c>
      <c r="D12" s="548">
        <v>221149</v>
      </c>
      <c r="E12" s="548">
        <v>7325.8834682326251</v>
      </c>
      <c r="F12" s="548">
        <v>17778.474863760603</v>
      </c>
      <c r="G12" s="548">
        <v>-10452.591395527979</v>
      </c>
      <c r="H12" s="548">
        <v>28290.289846830285</v>
      </c>
      <c r="I12" s="548">
        <v>17</v>
      </c>
      <c r="J12" s="548">
        <v>298435</v>
      </c>
      <c r="K12" s="548">
        <v>15445.820626376109</v>
      </c>
      <c r="L12" s="548">
        <v>14063.022256458071</v>
      </c>
      <c r="M12" s="548">
        <v>1382.7983699180384</v>
      </c>
      <c r="N12" s="548">
        <v>30878.628770061056</v>
      </c>
    </row>
    <row r="13" spans="1:14">
      <c r="A13" s="549">
        <v>8</v>
      </c>
      <c r="B13" s="550" t="s">
        <v>713</v>
      </c>
      <c r="C13" s="548">
        <v>14</v>
      </c>
      <c r="D13" s="548">
        <v>108506</v>
      </c>
      <c r="E13" s="548">
        <v>2086.6459060477173</v>
      </c>
      <c r="F13" s="548">
        <v>3147.5747499203171</v>
      </c>
      <c r="G13" s="548">
        <v>-1060.9288438725998</v>
      </c>
      <c r="H13" s="548">
        <v>9804.7908106611922</v>
      </c>
      <c r="I13" s="548">
        <v>13</v>
      </c>
      <c r="J13" s="548">
        <v>125084</v>
      </c>
      <c r="K13" s="548">
        <v>4994.3807115962418</v>
      </c>
      <c r="L13" s="548">
        <v>4704.1042427202119</v>
      </c>
      <c r="M13" s="548">
        <v>290.27646887602941</v>
      </c>
      <c r="N13" s="548">
        <v>10738.462485147355</v>
      </c>
    </row>
    <row r="14" spans="1:14">
      <c r="A14" s="549">
        <v>9</v>
      </c>
      <c r="B14" s="550" t="s">
        <v>714</v>
      </c>
      <c r="C14" s="548">
        <v>2</v>
      </c>
      <c r="D14" s="548">
        <v>27215</v>
      </c>
      <c r="E14" s="548">
        <v>628.5458478581354</v>
      </c>
      <c r="F14" s="548">
        <v>278.32056125400004</v>
      </c>
      <c r="G14" s="548">
        <v>350.22528660413542</v>
      </c>
      <c r="H14" s="548">
        <v>1669.5749464186913</v>
      </c>
      <c r="I14" s="548">
        <v>2</v>
      </c>
      <c r="J14" s="548">
        <v>30444</v>
      </c>
      <c r="K14" s="548">
        <v>1382.2847199260066</v>
      </c>
      <c r="L14" s="548">
        <v>653.10002106799993</v>
      </c>
      <c r="M14" s="548">
        <v>729.18469885800664</v>
      </c>
      <c r="N14" s="548">
        <v>2493.3873254003256</v>
      </c>
    </row>
    <row r="15" spans="1:14">
      <c r="A15" s="549">
        <v>10</v>
      </c>
      <c r="B15" s="550" t="s">
        <v>715</v>
      </c>
      <c r="C15" s="548">
        <v>29</v>
      </c>
      <c r="D15" s="548">
        <v>215543</v>
      </c>
      <c r="E15" s="548">
        <v>5571.706000654719</v>
      </c>
      <c r="F15" s="548">
        <v>8309.8008656759994</v>
      </c>
      <c r="G15" s="548">
        <v>-2738.0948650212804</v>
      </c>
      <c r="H15" s="548">
        <v>18115.974121491414</v>
      </c>
      <c r="I15" s="548">
        <v>25</v>
      </c>
      <c r="J15" s="548">
        <v>289200</v>
      </c>
      <c r="K15" s="548">
        <v>16810.311770436823</v>
      </c>
      <c r="L15" s="548">
        <v>10528.399003070201</v>
      </c>
      <c r="M15" s="548">
        <v>6281.9127673666217</v>
      </c>
      <c r="N15" s="548">
        <v>25421.423968734824</v>
      </c>
    </row>
    <row r="16" spans="1:14">
      <c r="A16" s="549">
        <v>11</v>
      </c>
      <c r="B16" s="550" t="s">
        <v>716</v>
      </c>
      <c r="C16" s="548">
        <v>20</v>
      </c>
      <c r="D16" s="548">
        <v>391721</v>
      </c>
      <c r="E16" s="548">
        <v>49845.542744406193</v>
      </c>
      <c r="F16" s="548">
        <v>31577.580181540001</v>
      </c>
      <c r="G16" s="548">
        <v>18267.962562866192</v>
      </c>
      <c r="H16" s="548">
        <v>81729.798821482749</v>
      </c>
      <c r="I16" s="548">
        <v>20</v>
      </c>
      <c r="J16" s="548">
        <v>709950</v>
      </c>
      <c r="K16" s="548">
        <v>127789.9437994013</v>
      </c>
      <c r="L16" s="548">
        <v>61038.841070713737</v>
      </c>
      <c r="M16" s="548">
        <v>66751.102628687571</v>
      </c>
      <c r="N16" s="548">
        <v>156231.28008846365</v>
      </c>
    </row>
    <row r="17" spans="1:14">
      <c r="A17" s="549">
        <v>12</v>
      </c>
      <c r="B17" s="550" t="s">
        <v>717</v>
      </c>
      <c r="C17" s="548">
        <v>23</v>
      </c>
      <c r="D17" s="548">
        <v>461927</v>
      </c>
      <c r="E17" s="548">
        <v>9276.4142857952484</v>
      </c>
      <c r="F17" s="548">
        <v>37303.949861584064</v>
      </c>
      <c r="G17" s="548">
        <v>-28027.535575788814</v>
      </c>
      <c r="H17" s="548">
        <v>55380.524188531796</v>
      </c>
      <c r="I17" s="548">
        <v>18</v>
      </c>
      <c r="J17" s="548">
        <v>329355</v>
      </c>
      <c r="K17" s="548">
        <v>3840.603521775347</v>
      </c>
      <c r="L17" s="548">
        <v>32593.422714264005</v>
      </c>
      <c r="M17" s="548">
        <v>-28752.819192488652</v>
      </c>
      <c r="N17" s="548">
        <v>28151.97854005477</v>
      </c>
    </row>
    <row r="18" spans="1:14">
      <c r="A18" s="549">
        <v>13</v>
      </c>
      <c r="B18" s="550" t="s">
        <v>718</v>
      </c>
      <c r="C18" s="548">
        <v>19</v>
      </c>
      <c r="D18" s="548">
        <v>170392</v>
      </c>
      <c r="E18" s="548">
        <v>59782.85583444596</v>
      </c>
      <c r="F18" s="548">
        <v>25271.312635743183</v>
      </c>
      <c r="G18" s="548">
        <v>34511.54319870277</v>
      </c>
      <c r="H18" s="548">
        <v>72475.856660864214</v>
      </c>
      <c r="I18" s="548">
        <v>23</v>
      </c>
      <c r="J18" s="548">
        <v>394788</v>
      </c>
      <c r="K18" s="548">
        <v>120939.65417546716</v>
      </c>
      <c r="L18" s="548">
        <v>75005.70875890828</v>
      </c>
      <c r="M18" s="548">
        <v>45933.945516558873</v>
      </c>
      <c r="N18" s="548">
        <v>125282.68521064501</v>
      </c>
    </row>
    <row r="19" spans="1:14">
      <c r="A19" s="549">
        <v>14</v>
      </c>
      <c r="B19" s="550" t="s">
        <v>719</v>
      </c>
      <c r="C19" s="548">
        <v>21</v>
      </c>
      <c r="D19" s="548">
        <v>116938</v>
      </c>
      <c r="E19" s="548">
        <v>5879.9775928194576</v>
      </c>
      <c r="F19" s="548">
        <v>5170.9811173282751</v>
      </c>
      <c r="G19" s="548">
        <v>708.99647549118345</v>
      </c>
      <c r="H19" s="548">
        <v>9284.9759829144186</v>
      </c>
      <c r="I19" s="548">
        <v>21</v>
      </c>
      <c r="J19" s="548">
        <v>221450</v>
      </c>
      <c r="K19" s="548">
        <v>22442.415181322303</v>
      </c>
      <c r="L19" s="548">
        <v>15836.607220007672</v>
      </c>
      <c r="M19" s="548">
        <v>6605.8079613146347</v>
      </c>
      <c r="N19" s="548">
        <v>16672.388715415342</v>
      </c>
    </row>
    <row r="20" spans="1:14">
      <c r="A20" s="549">
        <v>15</v>
      </c>
      <c r="B20" s="550" t="s">
        <v>720</v>
      </c>
      <c r="C20" s="548">
        <v>4</v>
      </c>
      <c r="D20" s="548">
        <v>34206</v>
      </c>
      <c r="E20" s="548">
        <v>789.05916811300006</v>
      </c>
      <c r="F20" s="548">
        <v>446.77712390199997</v>
      </c>
      <c r="G20" s="548">
        <v>342.28204421099997</v>
      </c>
      <c r="H20" s="548">
        <v>941.41219401438013</v>
      </c>
      <c r="I20" s="548">
        <v>4</v>
      </c>
      <c r="J20" s="548">
        <v>59669</v>
      </c>
      <c r="K20" s="548">
        <v>1260.1018592788275</v>
      </c>
      <c r="L20" s="548">
        <v>701.850624659</v>
      </c>
      <c r="M20" s="548">
        <v>558.25123461982753</v>
      </c>
      <c r="N20" s="548">
        <v>1555.6823900408983</v>
      </c>
    </row>
    <row r="21" spans="1:14">
      <c r="A21" s="549">
        <v>16</v>
      </c>
      <c r="B21" s="550" t="s">
        <v>721</v>
      </c>
      <c r="C21" s="548">
        <v>7</v>
      </c>
      <c r="D21" s="548">
        <v>162058</v>
      </c>
      <c r="E21" s="548">
        <v>36316.737786070204</v>
      </c>
      <c r="F21" s="548">
        <v>35678.485120826008</v>
      </c>
      <c r="G21" s="548">
        <v>638.25266524420385</v>
      </c>
      <c r="H21" s="548">
        <v>32490.431134149123</v>
      </c>
      <c r="I21" s="548">
        <v>9</v>
      </c>
      <c r="J21" s="548">
        <v>250749</v>
      </c>
      <c r="K21" s="548">
        <v>68928.385819748757</v>
      </c>
      <c r="L21" s="548">
        <v>42337.385892123995</v>
      </c>
      <c r="M21" s="548">
        <v>26590.999927624762</v>
      </c>
      <c r="N21" s="548">
        <v>62001.779473896131</v>
      </c>
    </row>
    <row r="22" spans="1:14" ht="45">
      <c r="A22" s="549"/>
      <c r="B22" s="547" t="s">
        <v>722</v>
      </c>
      <c r="C22" s="551">
        <v>329</v>
      </c>
      <c r="D22" s="551">
        <v>6135584</v>
      </c>
      <c r="E22" s="551">
        <v>18278637.423349313</v>
      </c>
      <c r="F22" s="551">
        <v>18283415.40955231</v>
      </c>
      <c r="G22" s="551">
        <v>-4777.9862029992328</v>
      </c>
      <c r="H22" s="551">
        <v>1029141.6773012358</v>
      </c>
      <c r="I22" s="551">
        <f>SUM(I6:I21)</f>
        <v>320</v>
      </c>
      <c r="J22" s="551">
        <f t="shared" ref="J22:N22" si="0">SUM(J6:J21)</f>
        <v>8295606</v>
      </c>
      <c r="K22" s="551">
        <f t="shared" si="0"/>
        <v>7371768.1979033165</v>
      </c>
      <c r="L22" s="551">
        <f t="shared" si="0"/>
        <v>7088648.7970693642</v>
      </c>
      <c r="M22" s="551">
        <f t="shared" si="0"/>
        <v>283119.4008339502</v>
      </c>
      <c r="N22" s="551">
        <f t="shared" si="0"/>
        <v>1374384.0414338352</v>
      </c>
    </row>
    <row r="23" spans="1:14">
      <c r="A23" s="549"/>
      <c r="B23" s="552"/>
      <c r="C23" s="548"/>
      <c r="D23" s="548"/>
      <c r="E23" s="548"/>
      <c r="F23" s="548"/>
      <c r="G23" s="548"/>
      <c r="H23" s="548"/>
      <c r="I23" s="548"/>
      <c r="J23" s="548"/>
      <c r="K23" s="548"/>
      <c r="L23" s="548"/>
      <c r="M23" s="548"/>
      <c r="N23" s="548"/>
    </row>
    <row r="24" spans="1:14">
      <c r="A24" s="543" t="s">
        <v>723</v>
      </c>
      <c r="B24" s="547" t="s">
        <v>724</v>
      </c>
      <c r="C24" s="548"/>
      <c r="D24" s="548"/>
      <c r="E24" s="548"/>
      <c r="F24" s="548"/>
      <c r="G24" s="548"/>
      <c r="H24" s="548"/>
      <c r="I24" s="548"/>
      <c r="J24" s="548"/>
      <c r="K24" s="548"/>
      <c r="L24" s="548"/>
      <c r="M24" s="548"/>
      <c r="N24" s="548"/>
    </row>
    <row r="25" spans="1:14">
      <c r="A25" s="549">
        <v>17</v>
      </c>
      <c r="B25" s="553" t="s">
        <v>725</v>
      </c>
      <c r="C25" s="548">
        <v>34</v>
      </c>
      <c r="D25" s="548">
        <v>9264215</v>
      </c>
      <c r="E25" s="548">
        <v>45594.025753337883</v>
      </c>
      <c r="F25" s="548">
        <v>30033.961169581464</v>
      </c>
      <c r="G25" s="548">
        <v>15560.064583756426</v>
      </c>
      <c r="H25" s="548">
        <v>113908.48534887873</v>
      </c>
      <c r="I25" s="548">
        <v>10</v>
      </c>
      <c r="J25" s="548">
        <v>1391762</v>
      </c>
      <c r="K25" s="548">
        <v>2825.9094782642856</v>
      </c>
      <c r="L25" s="548">
        <v>6288.7970887642268</v>
      </c>
      <c r="M25" s="548">
        <v>-3462.8877104999419</v>
      </c>
      <c r="N25" s="548">
        <v>20158.171198382417</v>
      </c>
    </row>
    <row r="26" spans="1:14">
      <c r="A26" s="549">
        <v>18</v>
      </c>
      <c r="B26" s="553" t="s">
        <v>726</v>
      </c>
      <c r="C26" s="548">
        <v>29</v>
      </c>
      <c r="D26" s="548">
        <v>10028315</v>
      </c>
      <c r="E26" s="548">
        <v>49942.58972327716</v>
      </c>
      <c r="F26" s="548">
        <v>33939.253940046889</v>
      </c>
      <c r="G26" s="548">
        <v>16003.335783230275</v>
      </c>
      <c r="H26" s="548">
        <v>113541.25340863605</v>
      </c>
      <c r="I26" s="548">
        <v>32</v>
      </c>
      <c r="J26" s="548">
        <v>10453660</v>
      </c>
      <c r="K26" s="548">
        <v>34935.608990720772</v>
      </c>
      <c r="L26" s="548">
        <v>46246.043970821811</v>
      </c>
      <c r="M26" s="548">
        <v>-11310.434980101032</v>
      </c>
      <c r="N26" s="548">
        <v>177549.3091806481</v>
      </c>
    </row>
    <row r="27" spans="1:14">
      <c r="A27" s="549">
        <v>19</v>
      </c>
      <c r="B27" s="553" t="s">
        <v>727</v>
      </c>
      <c r="C27" s="548">
        <v>27</v>
      </c>
      <c r="D27" s="548">
        <v>4735650</v>
      </c>
      <c r="E27" s="548">
        <v>17834.196607885489</v>
      </c>
      <c r="F27" s="548">
        <v>12541.878803005366</v>
      </c>
      <c r="G27" s="548">
        <v>5292.3178048801228</v>
      </c>
      <c r="H27" s="548">
        <v>42971.995422114334</v>
      </c>
      <c r="I27" s="548">
        <v>28</v>
      </c>
      <c r="J27" s="548">
        <v>4930393</v>
      </c>
      <c r="K27" s="548">
        <v>16192.816663699037</v>
      </c>
      <c r="L27" s="548">
        <v>16744.563731982827</v>
      </c>
      <c r="M27" s="548">
        <v>-551.74706828378646</v>
      </c>
      <c r="N27" s="548">
        <v>74936.998319233651</v>
      </c>
    </row>
    <row r="28" spans="1:14">
      <c r="A28" s="549">
        <v>20</v>
      </c>
      <c r="B28" s="553" t="s">
        <v>728</v>
      </c>
      <c r="C28" s="548">
        <v>27</v>
      </c>
      <c r="D28" s="548">
        <v>6498964</v>
      </c>
      <c r="E28" s="548">
        <v>30246.469627091439</v>
      </c>
      <c r="F28" s="548">
        <v>16729.014988343733</v>
      </c>
      <c r="G28" s="548">
        <v>13517.454638747702</v>
      </c>
      <c r="H28" s="548">
        <v>65804.848930772045</v>
      </c>
      <c r="I28" s="548">
        <v>26</v>
      </c>
      <c r="J28" s="548">
        <v>6523469</v>
      </c>
      <c r="K28" s="548">
        <v>20443.939777316878</v>
      </c>
      <c r="L28" s="548">
        <v>25693.884062118967</v>
      </c>
      <c r="M28" s="548">
        <v>-5249.9443848021019</v>
      </c>
      <c r="N28" s="548">
        <v>113515.04267024384</v>
      </c>
    </row>
    <row r="29" spans="1:14">
      <c r="A29" s="549">
        <v>21</v>
      </c>
      <c r="B29" s="553" t="s">
        <v>729</v>
      </c>
      <c r="C29" s="548">
        <v>23</v>
      </c>
      <c r="D29" s="548">
        <v>5128434</v>
      </c>
      <c r="E29" s="548">
        <v>21544.745674487225</v>
      </c>
      <c r="F29" s="548">
        <v>11113.774490803877</v>
      </c>
      <c r="G29" s="548">
        <v>10430.97118368335</v>
      </c>
      <c r="H29" s="548">
        <v>35832.031286181911</v>
      </c>
      <c r="I29" s="548">
        <v>24</v>
      </c>
      <c r="J29" s="548">
        <v>4978320</v>
      </c>
      <c r="K29" s="548">
        <v>14401.108600635336</v>
      </c>
      <c r="L29" s="548">
        <v>17772.550626758413</v>
      </c>
      <c r="M29" s="548">
        <v>-3371.4420261230766</v>
      </c>
      <c r="N29" s="548">
        <v>67763.803341076986</v>
      </c>
    </row>
    <row r="30" spans="1:14">
      <c r="A30" s="549">
        <v>22</v>
      </c>
      <c r="B30" s="553" t="s">
        <v>730</v>
      </c>
      <c r="C30" s="548">
        <v>6</v>
      </c>
      <c r="D30" s="548">
        <v>470525</v>
      </c>
      <c r="E30" s="548">
        <v>365.86219874400001</v>
      </c>
      <c r="F30" s="548">
        <v>743.54862671499995</v>
      </c>
      <c r="G30" s="548">
        <v>-377.686427971</v>
      </c>
      <c r="H30" s="548">
        <v>3282.0084482292932</v>
      </c>
      <c r="I30" s="548">
        <v>7</v>
      </c>
      <c r="J30" s="548">
        <v>502297</v>
      </c>
      <c r="K30" s="548">
        <v>2036.5291642766829</v>
      </c>
      <c r="L30" s="548">
        <v>791.62982075200011</v>
      </c>
      <c r="M30" s="548">
        <v>1244.8993435246825</v>
      </c>
      <c r="N30" s="548">
        <v>6598.9261386911858</v>
      </c>
    </row>
    <row r="31" spans="1:14">
      <c r="A31" s="549">
        <v>23</v>
      </c>
      <c r="B31" s="553" t="s">
        <v>731</v>
      </c>
      <c r="C31" s="548">
        <v>17</v>
      </c>
      <c r="D31" s="548">
        <v>4131763</v>
      </c>
      <c r="E31" s="548">
        <v>12840.084762151177</v>
      </c>
      <c r="F31" s="548">
        <v>14770.547673972873</v>
      </c>
      <c r="G31" s="548">
        <v>-1930.4629118216969</v>
      </c>
      <c r="H31" s="548">
        <v>39459.523672551848</v>
      </c>
      <c r="I31" s="548">
        <v>18</v>
      </c>
      <c r="J31" s="548">
        <v>3754709</v>
      </c>
      <c r="K31" s="548">
        <v>7710.0351314810778</v>
      </c>
      <c r="L31" s="548">
        <v>16613.286257816173</v>
      </c>
      <c r="M31" s="548">
        <v>-8903.2511263350916</v>
      </c>
      <c r="N31" s="548">
        <v>60814.985079275561</v>
      </c>
    </row>
    <row r="32" spans="1:14">
      <c r="A32" s="549">
        <v>24</v>
      </c>
      <c r="B32" s="553" t="s">
        <v>732</v>
      </c>
      <c r="C32" s="548">
        <v>22</v>
      </c>
      <c r="D32" s="548">
        <v>3570651</v>
      </c>
      <c r="E32" s="548">
        <v>23485.73361535052</v>
      </c>
      <c r="F32" s="548">
        <v>10650.821706157074</v>
      </c>
      <c r="G32" s="548">
        <v>12834.911909193448</v>
      </c>
      <c r="H32" s="548">
        <v>39071.922440695627</v>
      </c>
      <c r="I32" s="548">
        <v>25</v>
      </c>
      <c r="J32" s="548">
        <v>3855017</v>
      </c>
      <c r="K32" s="548">
        <v>16817.592832945727</v>
      </c>
      <c r="L32" s="548">
        <v>15954.490867906357</v>
      </c>
      <c r="M32" s="548">
        <v>863.10196503936777</v>
      </c>
      <c r="N32" s="548">
        <v>67501.719899989548</v>
      </c>
    </row>
    <row r="33" spans="1:14">
      <c r="A33" s="549">
        <v>25</v>
      </c>
      <c r="B33" s="553" t="s">
        <v>733</v>
      </c>
      <c r="C33" s="548">
        <v>96</v>
      </c>
      <c r="D33" s="548">
        <v>6528979</v>
      </c>
      <c r="E33" s="548">
        <v>20900.560135889402</v>
      </c>
      <c r="F33" s="548">
        <v>16631.597691730614</v>
      </c>
      <c r="G33" s="548">
        <v>4268.9624441587839</v>
      </c>
      <c r="H33" s="548">
        <v>49844.160506678665</v>
      </c>
      <c r="I33" s="548">
        <v>105</v>
      </c>
      <c r="J33" s="548">
        <v>7743557</v>
      </c>
      <c r="K33" s="548">
        <v>33910.742815690253</v>
      </c>
      <c r="L33" s="548">
        <v>26118.73243385127</v>
      </c>
      <c r="M33" s="548">
        <v>7792.0103818389889</v>
      </c>
      <c r="N33" s="548">
        <v>95363.944295550624</v>
      </c>
    </row>
    <row r="34" spans="1:14">
      <c r="A34" s="549">
        <v>26</v>
      </c>
      <c r="B34" s="553" t="s">
        <v>734</v>
      </c>
      <c r="C34" s="548">
        <v>43</v>
      </c>
      <c r="D34" s="548">
        <v>12335172</v>
      </c>
      <c r="E34" s="548">
        <v>17429.36016490576</v>
      </c>
      <c r="F34" s="548">
        <v>9242.2797320221853</v>
      </c>
      <c r="G34" s="548">
        <v>8187.0804328835711</v>
      </c>
      <c r="H34" s="548">
        <v>74791.498748658283</v>
      </c>
      <c r="I34" s="548">
        <v>42</v>
      </c>
      <c r="J34" s="548">
        <v>12383166</v>
      </c>
      <c r="K34" s="548">
        <v>12518.086041095678</v>
      </c>
      <c r="L34" s="548">
        <v>14218.822454570518</v>
      </c>
      <c r="M34" s="548">
        <v>-1700.7364134748411</v>
      </c>
      <c r="N34" s="548">
        <v>122935.53154538044</v>
      </c>
    </row>
    <row r="35" spans="1:14">
      <c r="A35" s="972">
        <v>27</v>
      </c>
      <c r="B35" s="973" t="s">
        <v>1172</v>
      </c>
      <c r="C35" s="548" t="s">
        <v>275</v>
      </c>
      <c r="D35" s="548" t="s">
        <v>275</v>
      </c>
      <c r="E35" s="548" t="s">
        <v>275</v>
      </c>
      <c r="F35" s="548" t="s">
        <v>275</v>
      </c>
      <c r="G35" s="548" t="s">
        <v>275</v>
      </c>
      <c r="H35" s="548" t="s">
        <v>275</v>
      </c>
      <c r="I35" s="548">
        <v>25</v>
      </c>
      <c r="J35" s="548">
        <v>8248025</v>
      </c>
      <c r="K35" s="548">
        <v>27899.748135656613</v>
      </c>
      <c r="L35" s="548">
        <v>38330.652098083832</v>
      </c>
      <c r="M35" s="548">
        <v>-10430.903962417207</v>
      </c>
      <c r="N35" s="548">
        <v>156219.8306319993</v>
      </c>
    </row>
    <row r="36" spans="1:14" ht="45">
      <c r="A36" s="549"/>
      <c r="B36" s="547" t="s">
        <v>735</v>
      </c>
      <c r="C36" s="551">
        <v>324</v>
      </c>
      <c r="D36" s="551">
        <v>62692668</v>
      </c>
      <c r="E36" s="551">
        <v>240183.62826312004</v>
      </c>
      <c r="F36" s="551">
        <v>156396.67882237906</v>
      </c>
      <c r="G36" s="551">
        <v>83786.94944074098</v>
      </c>
      <c r="H36" s="551">
        <v>578507.72821339685</v>
      </c>
      <c r="I36" s="551">
        <f>SUM(I25:I35)</f>
        <v>342</v>
      </c>
      <c r="J36" s="551">
        <f t="shared" ref="J36:N36" si="1">SUM(J25:J35)</f>
        <v>64764375</v>
      </c>
      <c r="K36" s="551">
        <f t="shared" si="1"/>
        <v>189692.11763178234</v>
      </c>
      <c r="L36" s="551">
        <f t="shared" si="1"/>
        <v>224773.45341342641</v>
      </c>
      <c r="M36" s="551">
        <f t="shared" si="1"/>
        <v>-35081.335981634045</v>
      </c>
      <c r="N36" s="551">
        <f t="shared" si="1"/>
        <v>963358.26230047166</v>
      </c>
    </row>
    <row r="37" spans="1:14">
      <c r="A37" s="549"/>
      <c r="B37" s="552"/>
      <c r="C37" s="548"/>
      <c r="D37" s="548"/>
      <c r="E37" s="548"/>
      <c r="F37" s="548"/>
      <c r="G37" s="548"/>
      <c r="H37" s="548"/>
      <c r="I37" s="548"/>
      <c r="J37" s="548"/>
      <c r="K37" s="548"/>
      <c r="L37" s="548"/>
      <c r="M37" s="548"/>
      <c r="N37" s="548"/>
    </row>
    <row r="38" spans="1:14">
      <c r="A38" s="543" t="s">
        <v>736</v>
      </c>
      <c r="B38" s="547" t="s">
        <v>737</v>
      </c>
      <c r="C38" s="548"/>
      <c r="D38" s="548"/>
      <c r="E38" s="548"/>
      <c r="F38" s="548"/>
      <c r="G38" s="548"/>
      <c r="H38" s="548"/>
      <c r="I38" s="548"/>
      <c r="J38" s="548"/>
      <c r="K38" s="548"/>
      <c r="L38" s="548"/>
      <c r="M38" s="548"/>
      <c r="N38" s="548"/>
    </row>
    <row r="39" spans="1:14">
      <c r="A39" s="549">
        <v>28</v>
      </c>
      <c r="B39" s="553" t="s">
        <v>738</v>
      </c>
      <c r="C39" s="548">
        <v>22</v>
      </c>
      <c r="D39" s="548">
        <v>386103</v>
      </c>
      <c r="E39" s="548">
        <v>1165.5897263883048</v>
      </c>
      <c r="F39" s="548">
        <v>4894.8240683645736</v>
      </c>
      <c r="G39" s="548">
        <v>-3729.2343419762683</v>
      </c>
      <c r="H39" s="548">
        <v>11189.68047502978</v>
      </c>
      <c r="I39" s="548">
        <v>21</v>
      </c>
      <c r="J39" s="548">
        <v>378912</v>
      </c>
      <c r="K39" s="548">
        <v>2950.8270331892263</v>
      </c>
      <c r="L39" s="548">
        <v>3596.6525874982444</v>
      </c>
      <c r="M39" s="548">
        <v>-645.82545430901814</v>
      </c>
      <c r="N39" s="548">
        <v>12512.579360836198</v>
      </c>
    </row>
    <row r="40" spans="1:14" ht="30">
      <c r="A40" s="549">
        <v>29</v>
      </c>
      <c r="B40" s="553" t="s">
        <v>739</v>
      </c>
      <c r="C40" s="548">
        <v>33</v>
      </c>
      <c r="D40" s="548">
        <v>5272614</v>
      </c>
      <c r="E40" s="548">
        <v>27229.243232883091</v>
      </c>
      <c r="F40" s="548">
        <v>48781.129242591043</v>
      </c>
      <c r="G40" s="548">
        <v>-21551.886009707967</v>
      </c>
      <c r="H40" s="548">
        <v>100990.17902722374</v>
      </c>
      <c r="I40" s="548">
        <v>34</v>
      </c>
      <c r="J40" s="548">
        <v>4743445</v>
      </c>
      <c r="K40" s="548">
        <v>13628.887868801321</v>
      </c>
      <c r="L40" s="548">
        <v>39466.533021757234</v>
      </c>
      <c r="M40" s="548">
        <v>-25837.645052955908</v>
      </c>
      <c r="N40" s="548">
        <v>122778.92776437306</v>
      </c>
    </row>
    <row r="41" spans="1:14" ht="30">
      <c r="A41" s="549">
        <v>30</v>
      </c>
      <c r="B41" s="553" t="s">
        <v>740</v>
      </c>
      <c r="C41" s="548">
        <v>23</v>
      </c>
      <c r="D41" s="548">
        <v>2657247</v>
      </c>
      <c r="E41" s="548">
        <v>29572.946994399783</v>
      </c>
      <c r="F41" s="548">
        <v>23497.174200168731</v>
      </c>
      <c r="G41" s="548">
        <v>6075.7727942310557</v>
      </c>
      <c r="H41" s="548">
        <v>77091.389533361667</v>
      </c>
      <c r="I41" s="548">
        <v>24</v>
      </c>
      <c r="J41" s="548">
        <v>2770541</v>
      </c>
      <c r="K41" s="548">
        <v>23261.570223812876</v>
      </c>
      <c r="L41" s="548">
        <v>25553.821302334884</v>
      </c>
      <c r="M41" s="548">
        <v>-2292.2509785220072</v>
      </c>
      <c r="N41" s="548">
        <v>106473.08143661577</v>
      </c>
    </row>
    <row r="42" spans="1:14">
      <c r="A42" s="549">
        <v>31</v>
      </c>
      <c r="B42" s="553" t="s">
        <v>741</v>
      </c>
      <c r="C42" s="548">
        <v>8</v>
      </c>
      <c r="D42" s="548">
        <v>631330</v>
      </c>
      <c r="E42" s="548">
        <v>4243.5340999724831</v>
      </c>
      <c r="F42" s="548">
        <v>3490.0690572085082</v>
      </c>
      <c r="G42" s="548">
        <v>753.46504276397502</v>
      </c>
      <c r="H42" s="548">
        <v>9439.4050171137987</v>
      </c>
      <c r="I42" s="548">
        <v>10</v>
      </c>
      <c r="J42" s="548">
        <v>714970</v>
      </c>
      <c r="K42" s="548">
        <v>3746.32897068389</v>
      </c>
      <c r="L42" s="548">
        <v>4071.6361346860476</v>
      </c>
      <c r="M42" s="548">
        <v>-325.30716400215749</v>
      </c>
      <c r="N42" s="548">
        <v>14787.682837593202</v>
      </c>
    </row>
    <row r="43" spans="1:14">
      <c r="A43" s="549">
        <v>32</v>
      </c>
      <c r="B43" s="553" t="s">
        <v>742</v>
      </c>
      <c r="C43" s="548">
        <v>25</v>
      </c>
      <c r="D43" s="548">
        <v>296071</v>
      </c>
      <c r="E43" s="548">
        <v>86320.86078416559</v>
      </c>
      <c r="F43" s="548">
        <v>84637.864433798328</v>
      </c>
      <c r="G43" s="548">
        <v>1682.9963503672657</v>
      </c>
      <c r="H43" s="548">
        <v>52210.302000569289</v>
      </c>
      <c r="I43" s="548">
        <v>27</v>
      </c>
      <c r="J43" s="548">
        <v>429411</v>
      </c>
      <c r="K43" s="548">
        <v>71472.768782347644</v>
      </c>
      <c r="L43" s="548">
        <v>47652.435031170258</v>
      </c>
      <c r="M43" s="548">
        <v>23820.333751177375</v>
      </c>
      <c r="N43" s="548">
        <v>71858.243539914663</v>
      </c>
    </row>
    <row r="44" spans="1:14">
      <c r="A44" s="549">
        <v>33</v>
      </c>
      <c r="B44" s="553" t="s">
        <v>743</v>
      </c>
      <c r="C44" s="548">
        <v>23</v>
      </c>
      <c r="D44" s="548">
        <v>329350</v>
      </c>
      <c r="E44" s="548">
        <v>2447.9156112412593</v>
      </c>
      <c r="F44" s="548">
        <v>9445.474456471793</v>
      </c>
      <c r="G44" s="548">
        <v>-6997.558845230531</v>
      </c>
      <c r="H44" s="548">
        <v>11228.912211943523</v>
      </c>
      <c r="I44" s="548">
        <v>23</v>
      </c>
      <c r="J44" s="548">
        <v>288150</v>
      </c>
      <c r="K44" s="548">
        <v>1475.7776957658327</v>
      </c>
      <c r="L44" s="548">
        <v>5341.0327759700785</v>
      </c>
      <c r="M44" s="548">
        <v>-3865.255080204246</v>
      </c>
      <c r="N44" s="548">
        <v>9804.3234620000421</v>
      </c>
    </row>
    <row r="45" spans="1:14" ht="30">
      <c r="A45" s="549"/>
      <c r="B45" s="547" t="s">
        <v>744</v>
      </c>
      <c r="C45" s="551">
        <v>134</v>
      </c>
      <c r="D45" s="551">
        <v>9572715</v>
      </c>
      <c r="E45" s="551">
        <v>150980.09044905051</v>
      </c>
      <c r="F45" s="551">
        <v>174746.535458603</v>
      </c>
      <c r="G45" s="551">
        <v>-23766.44500955247</v>
      </c>
      <c r="H45" s="551">
        <v>262149.86826524179</v>
      </c>
      <c r="I45" s="551">
        <f>SUM(I39:I44)</f>
        <v>139</v>
      </c>
      <c r="J45" s="551">
        <f t="shared" ref="J45:N45" si="2">SUM(J39:J44)</f>
        <v>9325429</v>
      </c>
      <c r="K45" s="551">
        <f t="shared" si="2"/>
        <v>116536.1605746008</v>
      </c>
      <c r="L45" s="551">
        <f t="shared" si="2"/>
        <v>125682.11085341674</v>
      </c>
      <c r="M45" s="551">
        <f t="shared" si="2"/>
        <v>-9145.9499788159628</v>
      </c>
      <c r="N45" s="551">
        <f t="shared" si="2"/>
        <v>338214.83840133296</v>
      </c>
    </row>
    <row r="46" spans="1:14">
      <c r="A46" s="549"/>
      <c r="B46" s="552"/>
      <c r="C46" s="548"/>
      <c r="D46" s="548"/>
      <c r="E46" s="548"/>
      <c r="F46" s="548"/>
      <c r="G46" s="548"/>
      <c r="H46" s="548"/>
      <c r="I46" s="548"/>
      <c r="J46" s="548"/>
      <c r="K46" s="548"/>
      <c r="L46" s="548"/>
      <c r="M46" s="548"/>
      <c r="N46" s="548"/>
    </row>
    <row r="47" spans="1:14">
      <c r="A47" s="543" t="s">
        <v>745</v>
      </c>
      <c r="B47" s="547" t="s">
        <v>746</v>
      </c>
      <c r="C47" s="548"/>
      <c r="D47" s="548"/>
      <c r="E47" s="548"/>
      <c r="F47" s="548"/>
      <c r="G47" s="548"/>
      <c r="H47" s="548"/>
      <c r="I47" s="548"/>
      <c r="J47" s="548"/>
      <c r="K47" s="548"/>
      <c r="L47" s="548"/>
      <c r="M47" s="548"/>
      <c r="N47" s="548"/>
    </row>
    <row r="48" spans="1:14">
      <c r="A48" s="549">
        <v>34</v>
      </c>
      <c r="B48" s="554" t="s">
        <v>747</v>
      </c>
      <c r="C48" s="548">
        <v>24</v>
      </c>
      <c r="D48" s="548">
        <v>2544753</v>
      </c>
      <c r="E48" s="548">
        <v>3155.4759845799999</v>
      </c>
      <c r="F48" s="548">
        <v>1113.0925893046999</v>
      </c>
      <c r="G48" s="548">
        <v>2042.3833952753</v>
      </c>
      <c r="H48" s="548">
        <v>8507.0652043591217</v>
      </c>
      <c r="I48" s="548">
        <v>25</v>
      </c>
      <c r="J48" s="548">
        <v>2614206</v>
      </c>
      <c r="K48" s="548">
        <v>2733.1611405877075</v>
      </c>
      <c r="L48" s="548">
        <v>1519.1862948416997</v>
      </c>
      <c r="M48" s="548">
        <v>1213.974845746008</v>
      </c>
      <c r="N48" s="548">
        <v>13375.362115204782</v>
      </c>
    </row>
    <row r="49" spans="1:14">
      <c r="A49" s="549">
        <v>35</v>
      </c>
      <c r="B49" s="554" t="s">
        <v>748</v>
      </c>
      <c r="C49" s="548">
        <v>9</v>
      </c>
      <c r="D49" s="548">
        <v>2892087</v>
      </c>
      <c r="E49" s="548">
        <v>851.94797451082786</v>
      </c>
      <c r="F49" s="548">
        <v>440.18600094256954</v>
      </c>
      <c r="G49" s="548">
        <v>411.76197356825855</v>
      </c>
      <c r="H49" s="548">
        <v>7192.1791421455637</v>
      </c>
      <c r="I49" s="548">
        <v>10</v>
      </c>
      <c r="J49" s="548">
        <v>2885118</v>
      </c>
      <c r="K49" s="548">
        <v>657.67718071963532</v>
      </c>
      <c r="L49" s="548">
        <v>388.63081432202853</v>
      </c>
      <c r="M49" s="548">
        <v>269.04636639760679</v>
      </c>
      <c r="N49" s="548">
        <v>10692.311088029748</v>
      </c>
    </row>
    <row r="50" spans="1:14">
      <c r="A50" s="549"/>
      <c r="B50" s="547" t="s">
        <v>749</v>
      </c>
      <c r="C50" s="551">
        <v>33</v>
      </c>
      <c r="D50" s="551">
        <v>5436840</v>
      </c>
      <c r="E50" s="551">
        <v>4007.4239590908278</v>
      </c>
      <c r="F50" s="551">
        <v>1553.2785902472694</v>
      </c>
      <c r="G50" s="551">
        <v>2454.1453688435586</v>
      </c>
      <c r="H50" s="551">
        <v>15699.244346504685</v>
      </c>
      <c r="I50" s="551">
        <f>SUM(I48:I49)</f>
        <v>35</v>
      </c>
      <c r="J50" s="551">
        <f t="shared" ref="J50:N50" si="3">SUM(J48:J49)</f>
        <v>5499324</v>
      </c>
      <c r="K50" s="551">
        <f t="shared" si="3"/>
        <v>3390.838321307343</v>
      </c>
      <c r="L50" s="551">
        <f t="shared" si="3"/>
        <v>1907.8171091637282</v>
      </c>
      <c r="M50" s="551">
        <f t="shared" si="3"/>
        <v>1483.0212121436148</v>
      </c>
      <c r="N50" s="551">
        <f t="shared" si="3"/>
        <v>24067.673203234532</v>
      </c>
    </row>
    <row r="51" spans="1:14">
      <c r="A51" s="549"/>
      <c r="B51" s="552"/>
      <c r="C51" s="548"/>
      <c r="D51" s="548"/>
      <c r="E51" s="548"/>
      <c r="F51" s="548"/>
      <c r="G51" s="548"/>
      <c r="H51" s="548"/>
      <c r="I51" s="548"/>
      <c r="J51" s="548"/>
      <c r="K51" s="548"/>
      <c r="L51" s="548"/>
      <c r="M51" s="548"/>
      <c r="N51" s="548"/>
    </row>
    <row r="52" spans="1:14">
      <c r="A52" s="543" t="s">
        <v>750</v>
      </c>
      <c r="B52" s="547" t="s">
        <v>751</v>
      </c>
      <c r="C52" s="548"/>
      <c r="D52" s="548"/>
      <c r="E52" s="548"/>
      <c r="F52" s="548"/>
      <c r="G52" s="548"/>
      <c r="H52" s="548"/>
      <c r="I52" s="548"/>
      <c r="J52" s="548"/>
      <c r="K52" s="548"/>
      <c r="L52" s="548"/>
      <c r="M52" s="548"/>
      <c r="N52" s="548"/>
    </row>
    <row r="53" spans="1:14">
      <c r="A53" s="549">
        <v>36</v>
      </c>
      <c r="B53" s="550" t="s">
        <v>752</v>
      </c>
      <c r="C53" s="548">
        <v>32</v>
      </c>
      <c r="D53" s="548">
        <v>544075</v>
      </c>
      <c r="E53" s="548">
        <v>8221.7278099505056</v>
      </c>
      <c r="F53" s="548">
        <v>3205.0868115734311</v>
      </c>
      <c r="G53" s="548">
        <v>5016.6409983770745</v>
      </c>
      <c r="H53" s="548">
        <v>8088.996682432592</v>
      </c>
      <c r="I53" s="548">
        <v>39</v>
      </c>
      <c r="J53" s="548">
        <v>936077</v>
      </c>
      <c r="K53" s="548">
        <v>9996.8178667974425</v>
      </c>
      <c r="L53" s="548">
        <v>7544.436762807657</v>
      </c>
      <c r="M53" s="548">
        <v>2452.3812039897862</v>
      </c>
      <c r="N53" s="548">
        <v>16867.166021034958</v>
      </c>
    </row>
    <row r="54" spans="1:14">
      <c r="A54" s="549">
        <v>37</v>
      </c>
      <c r="B54" s="550" t="s">
        <v>753</v>
      </c>
      <c r="C54" s="548">
        <v>11</v>
      </c>
      <c r="D54" s="548">
        <v>526671</v>
      </c>
      <c r="E54" s="548">
        <v>2514.7871980499999</v>
      </c>
      <c r="F54" s="548">
        <v>901.19522454427681</v>
      </c>
      <c r="G54" s="548">
        <v>1613.5919735057232</v>
      </c>
      <c r="H54" s="548">
        <v>7949.0628744751848</v>
      </c>
      <c r="I54" s="548">
        <v>11</v>
      </c>
      <c r="J54" s="548">
        <v>1089710</v>
      </c>
      <c r="K54" s="548">
        <v>7558.6252707120002</v>
      </c>
      <c r="L54" s="548">
        <v>1302.1125913763972</v>
      </c>
      <c r="M54" s="548">
        <v>6256.512679335603</v>
      </c>
      <c r="N54" s="548">
        <v>14101.836230867597</v>
      </c>
    </row>
    <row r="55" spans="1:14">
      <c r="A55" s="549">
        <v>38</v>
      </c>
      <c r="B55" s="550" t="s">
        <v>754</v>
      </c>
      <c r="C55" s="548">
        <v>76</v>
      </c>
      <c r="D55" s="548">
        <v>1899781</v>
      </c>
      <c r="E55" s="548">
        <v>123007.73807137753</v>
      </c>
      <c r="F55" s="548">
        <v>63198.326308484517</v>
      </c>
      <c r="G55" s="548">
        <v>59809.411762893018</v>
      </c>
      <c r="H55" s="548">
        <v>146462.67481179998</v>
      </c>
      <c r="I55" s="548">
        <v>89</v>
      </c>
      <c r="J55" s="548">
        <v>3942779</v>
      </c>
      <c r="K55" s="548">
        <v>89094.935507710004</v>
      </c>
      <c r="L55" s="548">
        <v>52907.198712916419</v>
      </c>
      <c r="M55" s="548">
        <v>36187.736794793571</v>
      </c>
      <c r="N55" s="548">
        <v>273885.61960832559</v>
      </c>
    </row>
    <row r="56" spans="1:14">
      <c r="A56" s="549">
        <v>39</v>
      </c>
      <c r="B56" s="550" t="s">
        <v>755</v>
      </c>
      <c r="C56" s="548">
        <v>28</v>
      </c>
      <c r="D56" s="548">
        <v>189784</v>
      </c>
      <c r="E56" s="548">
        <v>1392.9029335969999</v>
      </c>
      <c r="F56" s="548">
        <v>522.36335582007507</v>
      </c>
      <c r="G56" s="548">
        <v>870.53957777692483</v>
      </c>
      <c r="H56" s="548">
        <v>2734.3551154855036</v>
      </c>
      <c r="I56" s="548">
        <v>33</v>
      </c>
      <c r="J56" s="548">
        <v>623281</v>
      </c>
      <c r="K56" s="548">
        <v>7840.6544043707172</v>
      </c>
      <c r="L56" s="548">
        <v>1704.8386638224856</v>
      </c>
      <c r="M56" s="548">
        <v>6135.8157405482316</v>
      </c>
      <c r="N56" s="548">
        <v>10716.195824680352</v>
      </c>
    </row>
    <row r="57" spans="1:14">
      <c r="A57" s="549"/>
      <c r="B57" s="547" t="s">
        <v>756</v>
      </c>
      <c r="C57" s="551">
        <v>147</v>
      </c>
      <c r="D57" s="551">
        <v>3160311</v>
      </c>
      <c r="E57" s="551">
        <v>135137.15601297506</v>
      </c>
      <c r="F57" s="551">
        <v>67826.971700422306</v>
      </c>
      <c r="G57" s="551">
        <v>67310.184312552752</v>
      </c>
      <c r="H57" s="551">
        <v>165235.08948419325</v>
      </c>
      <c r="I57" s="551">
        <f>SUM(I53:I56)</f>
        <v>172</v>
      </c>
      <c r="J57" s="551">
        <f t="shared" ref="J57:N57" si="4">SUM(J53:J56)</f>
        <v>6591847</v>
      </c>
      <c r="K57" s="551">
        <f t="shared" si="4"/>
        <v>114491.03304959016</v>
      </c>
      <c r="L57" s="551">
        <f t="shared" si="4"/>
        <v>63458.586730922958</v>
      </c>
      <c r="M57" s="551">
        <f t="shared" si="4"/>
        <v>51032.446418667198</v>
      </c>
      <c r="N57" s="551">
        <f t="shared" si="4"/>
        <v>315570.81768490846</v>
      </c>
    </row>
    <row r="58" spans="1:14">
      <c r="A58" s="549"/>
      <c r="B58" s="552"/>
      <c r="C58" s="548"/>
      <c r="D58" s="548"/>
      <c r="E58" s="548"/>
      <c r="F58" s="548"/>
      <c r="G58" s="548"/>
      <c r="H58" s="548"/>
      <c r="I58" s="548"/>
      <c r="J58" s="548"/>
      <c r="K58" s="548"/>
      <c r="L58" s="548"/>
      <c r="M58" s="548"/>
      <c r="N58" s="548"/>
    </row>
    <row r="59" spans="1:14">
      <c r="A59" s="549"/>
      <c r="B59" s="547" t="s">
        <v>757</v>
      </c>
      <c r="C59" s="551">
        <v>967</v>
      </c>
      <c r="D59" s="551">
        <v>86998118</v>
      </c>
      <c r="E59" s="551">
        <v>18808945.722033549</v>
      </c>
      <c r="F59" s="551">
        <v>18683938.874123961</v>
      </c>
      <c r="G59" s="551">
        <v>125006.84790958559</v>
      </c>
      <c r="H59" s="551">
        <v>2050733.6076105726</v>
      </c>
      <c r="I59" s="551">
        <v>172</v>
      </c>
      <c r="J59" s="551">
        <v>6591847</v>
      </c>
      <c r="K59" s="551">
        <v>114491.03304959016</v>
      </c>
      <c r="L59" s="551">
        <v>63458.586730922958</v>
      </c>
      <c r="M59" s="551">
        <v>51032.446418667198</v>
      </c>
      <c r="N59" s="551">
        <v>315570.81768490846</v>
      </c>
    </row>
    <row r="60" spans="1:14">
      <c r="A60" s="549"/>
      <c r="B60" s="552"/>
      <c r="C60" s="548"/>
      <c r="D60" s="548"/>
      <c r="E60" s="548"/>
      <c r="F60" s="548"/>
      <c r="G60" s="548"/>
      <c r="H60" s="548"/>
      <c r="I60" s="548"/>
      <c r="J60" s="548"/>
      <c r="K60" s="548"/>
      <c r="L60" s="548"/>
      <c r="M60" s="548"/>
      <c r="N60" s="548"/>
    </row>
    <row r="61" spans="1:14" s="358" customFormat="1">
      <c r="A61" s="544" t="s">
        <v>758</v>
      </c>
      <c r="B61" s="545" t="s">
        <v>759</v>
      </c>
      <c r="C61" s="551"/>
      <c r="D61" s="551"/>
      <c r="E61" s="551"/>
      <c r="F61" s="551"/>
      <c r="G61" s="551"/>
      <c r="H61" s="551"/>
      <c r="I61" s="551"/>
      <c r="J61" s="551"/>
      <c r="K61" s="551"/>
      <c r="L61" s="551"/>
      <c r="M61" s="551"/>
      <c r="N61" s="551"/>
    </row>
    <row r="62" spans="1:14">
      <c r="A62" s="549" t="s">
        <v>704</v>
      </c>
      <c r="B62" s="552" t="s">
        <v>705</v>
      </c>
      <c r="C62" s="548"/>
      <c r="D62" s="548"/>
      <c r="E62" s="548"/>
      <c r="F62" s="548"/>
      <c r="G62" s="548"/>
      <c r="H62" s="548"/>
      <c r="I62" s="548"/>
      <c r="J62" s="548"/>
      <c r="K62" s="548"/>
      <c r="L62" s="548"/>
      <c r="M62" s="548"/>
      <c r="N62" s="548"/>
    </row>
    <row r="63" spans="1:14">
      <c r="A63" s="549" t="s">
        <v>760</v>
      </c>
      <c r="B63" s="552" t="s">
        <v>761</v>
      </c>
      <c r="C63" s="548">
        <v>742</v>
      </c>
      <c r="D63" s="548">
        <v>851658</v>
      </c>
      <c r="E63" s="548">
        <v>4013.9855413139999</v>
      </c>
      <c r="F63" s="548">
        <v>32726.769196192003</v>
      </c>
      <c r="G63" s="548">
        <v>-28712.783654878</v>
      </c>
      <c r="H63" s="548">
        <v>140594.52457520913</v>
      </c>
      <c r="I63" s="548">
        <v>581</v>
      </c>
      <c r="J63" s="548">
        <v>515556</v>
      </c>
      <c r="K63" s="548">
        <v>76.441760505000005</v>
      </c>
      <c r="L63" s="548">
        <v>30310.367344801001</v>
      </c>
      <c r="M63" s="548">
        <v>-30233.925584296001</v>
      </c>
      <c r="N63" s="548">
        <v>119373.97393913778</v>
      </c>
    </row>
    <row r="64" spans="1:14">
      <c r="A64" s="549" t="s">
        <v>762</v>
      </c>
      <c r="B64" s="552" t="s">
        <v>763</v>
      </c>
      <c r="C64" s="548">
        <v>31</v>
      </c>
      <c r="D64" s="548">
        <v>107535</v>
      </c>
      <c r="E64" s="548">
        <v>489.01860140000002</v>
      </c>
      <c r="F64" s="548">
        <v>2665.4728133068024</v>
      </c>
      <c r="G64" s="548">
        <v>-2176.4542119068024</v>
      </c>
      <c r="H64" s="548">
        <v>4209.97686122907</v>
      </c>
      <c r="I64" s="548">
        <v>22</v>
      </c>
      <c r="J64" s="548">
        <v>59829</v>
      </c>
      <c r="K64" s="548">
        <v>0</v>
      </c>
      <c r="L64" s="548">
        <v>1867.8374759739984</v>
      </c>
      <c r="M64" s="548">
        <v>-1867.8374759739984</v>
      </c>
      <c r="N64" s="548">
        <v>2685.42771623525</v>
      </c>
    </row>
    <row r="65" spans="1:14">
      <c r="A65" s="549" t="s">
        <v>764</v>
      </c>
      <c r="B65" s="552" t="s">
        <v>765</v>
      </c>
      <c r="C65" s="548">
        <v>9</v>
      </c>
      <c r="D65" s="548">
        <v>89</v>
      </c>
      <c r="E65" s="548">
        <v>0</v>
      </c>
      <c r="F65" s="548">
        <v>314.72242813100002</v>
      </c>
      <c r="G65" s="548">
        <v>-314.72242813100002</v>
      </c>
      <c r="H65" s="548">
        <v>2391.3706024945245</v>
      </c>
      <c r="I65" s="548">
        <v>9</v>
      </c>
      <c r="J65" s="548">
        <v>89</v>
      </c>
      <c r="K65" s="548">
        <v>0</v>
      </c>
      <c r="L65" s="548">
        <v>0</v>
      </c>
      <c r="M65" s="548">
        <v>0</v>
      </c>
      <c r="N65" s="548">
        <v>2263.9443987429086</v>
      </c>
    </row>
    <row r="66" spans="1:14">
      <c r="A66" s="549" t="s">
        <v>766</v>
      </c>
      <c r="B66" s="552" t="s">
        <v>767</v>
      </c>
      <c r="C66" s="548">
        <v>33</v>
      </c>
      <c r="D66" s="548">
        <v>83390</v>
      </c>
      <c r="E66" s="548">
        <v>0</v>
      </c>
      <c r="F66" s="548">
        <v>2605.9309370270003</v>
      </c>
      <c r="G66" s="548">
        <v>-2605.9309370270003</v>
      </c>
      <c r="H66" s="548">
        <v>3426.8873431012225</v>
      </c>
      <c r="I66" s="548">
        <v>8</v>
      </c>
      <c r="J66" s="548">
        <v>17979</v>
      </c>
      <c r="K66" s="548">
        <v>0</v>
      </c>
      <c r="L66" s="548">
        <v>2969.5448350689999</v>
      </c>
      <c r="M66" s="548">
        <v>-2969.5448350689999</v>
      </c>
      <c r="N66" s="548">
        <v>708.88748260119507</v>
      </c>
    </row>
    <row r="67" spans="1:14">
      <c r="A67" s="549"/>
      <c r="B67" s="547" t="s">
        <v>768</v>
      </c>
      <c r="C67" s="551">
        <v>815</v>
      </c>
      <c r="D67" s="551">
        <v>1042672</v>
      </c>
      <c r="E67" s="551">
        <v>4503.0041427139995</v>
      </c>
      <c r="F67" s="551">
        <v>38312.8953746568</v>
      </c>
      <c r="G67" s="551">
        <v>-33809.891231942805</v>
      </c>
      <c r="H67" s="551">
        <v>150622.75938203395</v>
      </c>
      <c r="I67" s="551">
        <v>620</v>
      </c>
      <c r="J67" s="551">
        <v>593453</v>
      </c>
      <c r="K67" s="551">
        <v>76.441760505000005</v>
      </c>
      <c r="L67" s="551">
        <v>35147.749655844003</v>
      </c>
      <c r="M67" s="551">
        <v>-35071.307895339</v>
      </c>
      <c r="N67" s="551">
        <v>125032.23353671713</v>
      </c>
    </row>
    <row r="68" spans="1:14">
      <c r="A68" s="549"/>
      <c r="B68" s="552"/>
      <c r="C68" s="548"/>
      <c r="D68" s="548"/>
      <c r="E68" s="548"/>
      <c r="F68" s="548"/>
      <c r="G68" s="548"/>
      <c r="H68" s="548"/>
      <c r="I68" s="548"/>
      <c r="J68" s="548"/>
      <c r="K68" s="548"/>
      <c r="L68" s="548"/>
      <c r="M68" s="548"/>
      <c r="N68" s="548"/>
    </row>
    <row r="69" spans="1:14">
      <c r="A69" s="549" t="s">
        <v>723</v>
      </c>
      <c r="B69" s="552" t="s">
        <v>724</v>
      </c>
      <c r="C69" s="548"/>
      <c r="D69" s="548"/>
      <c r="E69" s="548"/>
      <c r="F69" s="548"/>
      <c r="G69" s="548"/>
      <c r="H69" s="548"/>
      <c r="I69" s="548"/>
      <c r="J69" s="548"/>
      <c r="K69" s="548"/>
      <c r="L69" s="548"/>
      <c r="M69" s="548"/>
      <c r="N69" s="548"/>
    </row>
    <row r="70" spans="1:14">
      <c r="A70" s="549" t="s">
        <v>760</v>
      </c>
      <c r="B70" s="552" t="s">
        <v>734</v>
      </c>
      <c r="C70" s="548">
        <v>25</v>
      </c>
      <c r="D70" s="548">
        <v>470566</v>
      </c>
      <c r="E70" s="548">
        <v>0</v>
      </c>
      <c r="F70" s="548">
        <v>322.09820754499998</v>
      </c>
      <c r="G70" s="548">
        <v>-322.09820754499998</v>
      </c>
      <c r="H70" s="548">
        <v>3044.9470239677185</v>
      </c>
      <c r="I70" s="548">
        <v>25</v>
      </c>
      <c r="J70" s="548">
        <v>437875</v>
      </c>
      <c r="K70" s="548">
        <v>-2E-3</v>
      </c>
      <c r="L70" s="548">
        <v>461.74243915099999</v>
      </c>
      <c r="M70" s="548">
        <v>-461.74443915099999</v>
      </c>
      <c r="N70" s="548">
        <v>4763.2522674667507</v>
      </c>
    </row>
    <row r="71" spans="1:14">
      <c r="A71" s="549" t="s">
        <v>762</v>
      </c>
      <c r="B71" s="552" t="s">
        <v>150</v>
      </c>
      <c r="C71" s="548">
        <v>86</v>
      </c>
      <c r="D71" s="548">
        <v>1230807</v>
      </c>
      <c r="E71" s="548">
        <v>3.999999999999837E-5</v>
      </c>
      <c r="F71" s="548">
        <v>1868.3248542700007</v>
      </c>
      <c r="G71" s="548">
        <v>-1868.3248142700006</v>
      </c>
      <c r="H71" s="548">
        <v>21408.902390166691</v>
      </c>
      <c r="I71" s="548">
        <v>54</v>
      </c>
      <c r="J71" s="548">
        <v>677178</v>
      </c>
      <c r="K71" s="548">
        <v>-1.0000000000000001E-5</v>
      </c>
      <c r="L71" s="548">
        <v>11160.134854345</v>
      </c>
      <c r="M71" s="548">
        <v>-11160.134864345</v>
      </c>
      <c r="N71" s="548">
        <v>18520.847002951665</v>
      </c>
    </row>
    <row r="72" spans="1:14">
      <c r="A72" s="549"/>
      <c r="B72" s="547" t="s">
        <v>769</v>
      </c>
      <c r="C72" s="551">
        <v>111</v>
      </c>
      <c r="D72" s="551">
        <v>1701373</v>
      </c>
      <c r="E72" s="551">
        <v>3.999999999999837E-5</v>
      </c>
      <c r="F72" s="551">
        <v>2190.4230618150009</v>
      </c>
      <c r="G72" s="551">
        <v>-2190.4230218150005</v>
      </c>
      <c r="H72" s="551">
        <v>24453.849414134409</v>
      </c>
      <c r="I72" s="551">
        <v>79</v>
      </c>
      <c r="J72" s="551">
        <v>1115053</v>
      </c>
      <c r="K72" s="551">
        <v>-2.0100000000000001E-3</v>
      </c>
      <c r="L72" s="551">
        <v>11621.877293496</v>
      </c>
      <c r="M72" s="551">
        <v>-11621.879303496</v>
      </c>
      <c r="N72" s="551">
        <v>23284.099270418417</v>
      </c>
    </row>
    <row r="73" spans="1:14">
      <c r="A73" s="549"/>
      <c r="B73" s="552"/>
      <c r="C73" s="548"/>
      <c r="D73" s="548"/>
      <c r="E73" s="548"/>
      <c r="F73" s="548"/>
      <c r="G73" s="548"/>
      <c r="H73" s="548"/>
      <c r="I73" s="548"/>
      <c r="J73" s="548"/>
      <c r="K73" s="548"/>
      <c r="L73" s="548"/>
      <c r="M73" s="548"/>
      <c r="N73" s="548"/>
    </row>
    <row r="74" spans="1:14">
      <c r="A74" s="549" t="s">
        <v>736</v>
      </c>
      <c r="B74" s="552" t="s">
        <v>751</v>
      </c>
      <c r="C74" s="548">
        <v>0</v>
      </c>
      <c r="D74" s="548">
        <v>0</v>
      </c>
      <c r="E74" s="548">
        <v>0</v>
      </c>
      <c r="F74" s="548">
        <v>0</v>
      </c>
      <c r="G74" s="548">
        <v>0</v>
      </c>
      <c r="H74" s="548">
        <v>0</v>
      </c>
      <c r="I74" s="548">
        <v>0</v>
      </c>
      <c r="J74" s="548">
        <v>0</v>
      </c>
      <c r="K74" s="548">
        <v>0</v>
      </c>
      <c r="L74" s="548">
        <v>0</v>
      </c>
      <c r="M74" s="548">
        <v>0</v>
      </c>
      <c r="N74" s="548">
        <v>0</v>
      </c>
    </row>
    <row r="75" spans="1:14">
      <c r="A75" s="549"/>
      <c r="B75" s="552"/>
      <c r="C75" s="548"/>
      <c r="D75" s="548"/>
      <c r="E75" s="548"/>
      <c r="F75" s="548"/>
      <c r="G75" s="548"/>
      <c r="H75" s="548"/>
      <c r="I75" s="548"/>
      <c r="J75" s="548"/>
      <c r="K75" s="548"/>
      <c r="L75" s="548"/>
      <c r="M75" s="548"/>
      <c r="N75" s="548"/>
    </row>
    <row r="76" spans="1:14">
      <c r="A76" s="549"/>
      <c r="B76" s="547" t="s">
        <v>770</v>
      </c>
      <c r="C76" s="551">
        <v>926</v>
      </c>
      <c r="D76" s="551">
        <v>2744045</v>
      </c>
      <c r="E76" s="551">
        <v>4503.0041827139994</v>
      </c>
      <c r="F76" s="551">
        <v>40503.318436471804</v>
      </c>
      <c r="G76" s="551">
        <v>-36000.31425375781</v>
      </c>
      <c r="H76" s="551">
        <v>175076.60879616835</v>
      </c>
      <c r="I76" s="551">
        <v>699</v>
      </c>
      <c r="J76" s="551">
        <v>1708506</v>
      </c>
      <c r="K76" s="551">
        <v>76.439750505000006</v>
      </c>
      <c r="L76" s="551">
        <v>46769.626949340003</v>
      </c>
      <c r="M76" s="551">
        <v>-46693.187198835003</v>
      </c>
      <c r="N76" s="551">
        <v>148316.33280713554</v>
      </c>
    </row>
    <row r="77" spans="1:14">
      <c r="A77" s="549"/>
      <c r="B77" s="552"/>
      <c r="C77" s="548"/>
      <c r="D77" s="548"/>
      <c r="E77" s="548"/>
      <c r="F77" s="548"/>
      <c r="G77" s="548"/>
      <c r="H77" s="548"/>
      <c r="I77" s="548"/>
      <c r="J77" s="548"/>
      <c r="K77" s="548"/>
      <c r="L77" s="548"/>
      <c r="M77" s="548"/>
      <c r="N77" s="548"/>
    </row>
    <row r="78" spans="1:14" s="358" customFormat="1">
      <c r="A78" s="544" t="s">
        <v>771</v>
      </c>
      <c r="B78" s="545" t="s">
        <v>772</v>
      </c>
      <c r="C78" s="551"/>
      <c r="D78" s="551"/>
      <c r="E78" s="551"/>
      <c r="F78" s="551"/>
      <c r="G78" s="551"/>
      <c r="H78" s="551"/>
      <c r="I78" s="551"/>
      <c r="J78" s="551"/>
      <c r="K78" s="551"/>
      <c r="L78" s="551"/>
      <c r="M78" s="551"/>
      <c r="N78" s="551"/>
    </row>
    <row r="79" spans="1:14">
      <c r="A79" s="549"/>
      <c r="B79" s="552" t="s">
        <v>705</v>
      </c>
      <c r="C79" s="548">
        <v>23</v>
      </c>
      <c r="D79" s="548">
        <v>3888</v>
      </c>
      <c r="E79" s="548">
        <v>9.0477382380000044</v>
      </c>
      <c r="F79" s="548">
        <v>1714.7554145029999</v>
      </c>
      <c r="G79" s="548">
        <v>-1705.7076762649999</v>
      </c>
      <c r="H79" s="548">
        <v>392.64872913278566</v>
      </c>
      <c r="I79" s="548">
        <v>22</v>
      </c>
      <c r="J79" s="548">
        <v>3448</v>
      </c>
      <c r="K79" s="548">
        <v>4.7704214679999994</v>
      </c>
      <c r="L79" s="548">
        <v>230.81695525699996</v>
      </c>
      <c r="M79" s="548">
        <v>-226.04653378899997</v>
      </c>
      <c r="N79" s="548">
        <v>201.75862369114384</v>
      </c>
    </row>
    <row r="80" spans="1:14">
      <c r="A80" s="549"/>
      <c r="B80" s="552"/>
      <c r="C80" s="548"/>
      <c r="D80" s="548"/>
      <c r="E80" s="548"/>
      <c r="F80" s="548"/>
      <c r="G80" s="548"/>
      <c r="H80" s="548"/>
      <c r="I80" s="548"/>
      <c r="J80" s="548"/>
      <c r="K80" s="548"/>
      <c r="L80" s="548"/>
      <c r="M80" s="548"/>
      <c r="N80" s="548"/>
    </row>
    <row r="81" spans="1:14">
      <c r="A81" s="549" t="s">
        <v>723</v>
      </c>
      <c r="B81" s="552" t="s">
        <v>724</v>
      </c>
      <c r="C81" s="548">
        <v>0</v>
      </c>
      <c r="D81" s="548">
        <v>0</v>
      </c>
      <c r="E81" s="548">
        <v>0</v>
      </c>
      <c r="F81" s="548">
        <v>0</v>
      </c>
      <c r="G81" s="548">
        <v>0</v>
      </c>
      <c r="H81" s="548">
        <v>0</v>
      </c>
      <c r="I81" s="548">
        <v>0</v>
      </c>
      <c r="J81" s="548">
        <v>0</v>
      </c>
      <c r="K81" s="548">
        <v>0</v>
      </c>
      <c r="L81" s="548">
        <v>0</v>
      </c>
      <c r="M81" s="548">
        <v>0</v>
      </c>
      <c r="N81" s="548">
        <v>0</v>
      </c>
    </row>
    <row r="82" spans="1:14">
      <c r="A82" s="549"/>
      <c r="B82" s="552"/>
      <c r="C82" s="548"/>
      <c r="D82" s="548"/>
      <c r="E82" s="548"/>
      <c r="F82" s="548"/>
      <c r="G82" s="548"/>
      <c r="H82" s="548"/>
      <c r="I82" s="548"/>
      <c r="J82" s="548"/>
      <c r="K82" s="548"/>
      <c r="L82" s="548"/>
      <c r="M82" s="548"/>
      <c r="N82" s="548"/>
    </row>
    <row r="83" spans="1:14">
      <c r="A83" s="549" t="s">
        <v>736</v>
      </c>
      <c r="B83" s="552" t="s">
        <v>751</v>
      </c>
      <c r="C83" s="548">
        <v>0</v>
      </c>
      <c r="D83" s="548">
        <v>0</v>
      </c>
      <c r="E83" s="548">
        <v>0</v>
      </c>
      <c r="F83" s="548">
        <v>0</v>
      </c>
      <c r="G83" s="548">
        <v>0</v>
      </c>
      <c r="H83" s="548">
        <v>0</v>
      </c>
      <c r="I83" s="548">
        <v>0</v>
      </c>
      <c r="J83" s="548">
        <v>0</v>
      </c>
      <c r="K83" s="548">
        <v>0</v>
      </c>
      <c r="L83" s="548">
        <v>0</v>
      </c>
      <c r="M83" s="548">
        <v>0</v>
      </c>
      <c r="N83" s="548">
        <v>0</v>
      </c>
    </row>
    <row r="84" spans="1:14">
      <c r="A84" s="549"/>
      <c r="B84" s="552"/>
      <c r="C84" s="548"/>
      <c r="D84" s="548"/>
      <c r="E84" s="548"/>
      <c r="F84" s="548"/>
      <c r="G84" s="548"/>
      <c r="H84" s="548"/>
      <c r="I84" s="548"/>
      <c r="J84" s="548"/>
      <c r="K84" s="548"/>
      <c r="L84" s="548"/>
      <c r="M84" s="548"/>
      <c r="N84" s="548"/>
    </row>
    <row r="85" spans="1:14" ht="13.5" customHeight="1">
      <c r="A85" s="549"/>
      <c r="B85" s="547" t="s">
        <v>773</v>
      </c>
      <c r="C85" s="551">
        <v>23</v>
      </c>
      <c r="D85" s="551">
        <v>3888</v>
      </c>
      <c r="E85" s="551">
        <v>9.0477382380000044</v>
      </c>
      <c r="F85" s="551">
        <v>1714.7554145029999</v>
      </c>
      <c r="G85" s="551">
        <v>-1705.7076762649999</v>
      </c>
      <c r="H85" s="551">
        <v>392.64872913278566</v>
      </c>
      <c r="I85" s="551">
        <v>22</v>
      </c>
      <c r="J85" s="551">
        <v>3448</v>
      </c>
      <c r="K85" s="551">
        <v>4.7704214679999994</v>
      </c>
      <c r="L85" s="551">
        <v>230.81695525699996</v>
      </c>
      <c r="M85" s="551">
        <v>-226.04653378899997</v>
      </c>
      <c r="N85" s="551">
        <v>201.75862369114384</v>
      </c>
    </row>
    <row r="86" spans="1:14">
      <c r="A86" s="549"/>
      <c r="B86" s="552"/>
      <c r="C86" s="548"/>
      <c r="D86" s="548"/>
      <c r="E86" s="548"/>
      <c r="F86" s="548"/>
      <c r="G86" s="548"/>
      <c r="H86" s="548"/>
      <c r="I86" s="548"/>
      <c r="J86" s="548"/>
      <c r="K86" s="548"/>
      <c r="L86" s="548"/>
      <c r="M86" s="548"/>
      <c r="N86" s="548"/>
    </row>
    <row r="87" spans="1:14" s="358" customFormat="1" ht="45">
      <c r="A87" s="555" t="s">
        <v>774</v>
      </c>
      <c r="B87" s="555" t="s">
        <v>774</v>
      </c>
      <c r="C87" s="551">
        <v>1916</v>
      </c>
      <c r="D87" s="551">
        <v>89746051</v>
      </c>
      <c r="E87" s="551">
        <v>18813457.7739545</v>
      </c>
      <c r="F87" s="551">
        <v>18726156.947974935</v>
      </c>
      <c r="G87" s="551">
        <v>87300.825979562796</v>
      </c>
      <c r="H87" s="551">
        <v>2226202.8651358737</v>
      </c>
      <c r="I87" s="551">
        <v>1729</v>
      </c>
      <c r="J87" s="551">
        <v>96188535</v>
      </c>
      <c r="K87" s="551">
        <v>7795959.5576525712</v>
      </c>
      <c r="L87" s="551">
        <v>7551471.2090808908</v>
      </c>
      <c r="M87" s="551">
        <v>244488.34877168699</v>
      </c>
      <c r="N87" s="551">
        <v>3164113.7244546092</v>
      </c>
    </row>
    <row r="88" spans="1:14">
      <c r="A88" s="549"/>
      <c r="B88" s="552"/>
      <c r="C88" s="548"/>
      <c r="D88" s="548"/>
      <c r="E88" s="548"/>
      <c r="F88" s="548"/>
      <c r="G88" s="548"/>
      <c r="H88" s="548"/>
      <c r="I88" s="548"/>
      <c r="J88" s="548"/>
      <c r="K88" s="548"/>
      <c r="L88" s="548"/>
      <c r="M88" s="548"/>
      <c r="N88" s="548"/>
    </row>
    <row r="89" spans="1:14">
      <c r="A89" s="549"/>
      <c r="B89" s="552" t="s">
        <v>775</v>
      </c>
      <c r="C89" s="548">
        <v>46</v>
      </c>
      <c r="D89" s="548">
        <v>637072</v>
      </c>
      <c r="E89" s="548">
        <v>10813.35154536839</v>
      </c>
      <c r="F89" s="548">
        <v>1930.1320254151196</v>
      </c>
      <c r="G89" s="548">
        <v>8883.2195199532707</v>
      </c>
      <c r="H89" s="548">
        <v>12257.11304643228</v>
      </c>
      <c r="I89" s="548">
        <v>52</v>
      </c>
      <c r="J89" s="548">
        <v>1123366</v>
      </c>
      <c r="K89" s="548">
        <v>15612.271815924256</v>
      </c>
      <c r="L89" s="548">
        <v>5852.9585381714614</v>
      </c>
      <c r="M89" s="548">
        <v>9759.3132777527899</v>
      </c>
      <c r="N89" s="548">
        <v>25764.313561199051</v>
      </c>
    </row>
    <row r="90" spans="1:14">
      <c r="A90" s="361" t="s">
        <v>36</v>
      </c>
      <c r="B90" s="362"/>
      <c r="C90" s="363"/>
      <c r="D90" s="363"/>
      <c r="E90" s="363"/>
      <c r="F90" s="363"/>
      <c r="G90" s="363"/>
      <c r="H90" s="363"/>
      <c r="I90" s="363"/>
      <c r="J90" s="363"/>
      <c r="K90" s="363"/>
      <c r="L90" s="363"/>
      <c r="M90" s="363"/>
      <c r="N90" s="363"/>
    </row>
    <row r="91" spans="1:14">
      <c r="A91" s="360" t="s">
        <v>776</v>
      </c>
      <c r="I91" s="363"/>
      <c r="J91" s="363"/>
      <c r="K91" s="363"/>
      <c r="L91" s="363"/>
      <c r="M91" s="363"/>
      <c r="N91" s="363"/>
    </row>
    <row r="92" spans="1:14">
      <c r="A92" s="360" t="s">
        <v>777</v>
      </c>
      <c r="I92" s="363"/>
      <c r="J92" s="363"/>
      <c r="K92" s="363"/>
      <c r="L92" s="363"/>
      <c r="M92" s="363"/>
      <c r="N92" s="363"/>
    </row>
    <row r="93" spans="1:14">
      <c r="A93" s="360" t="s">
        <v>1173</v>
      </c>
    </row>
    <row r="94" spans="1:14">
      <c r="A94" s="1409" t="s">
        <v>43</v>
      </c>
      <c r="B94" s="1409"/>
    </row>
    <row r="98" spans="3:10">
      <c r="C98" s="364"/>
    </row>
    <row r="99" spans="3:10">
      <c r="C99" s="364"/>
    </row>
    <row r="100" spans="3:10">
      <c r="C100" s="364"/>
      <c r="I100" s="360"/>
      <c r="J100" s="360"/>
    </row>
  </sheetData>
  <mergeCells count="5">
    <mergeCell ref="A2:A3"/>
    <mergeCell ref="B2:B3"/>
    <mergeCell ref="C2:H2"/>
    <mergeCell ref="I2:N2"/>
    <mergeCell ref="A94:B9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L70"/>
  <sheetViews>
    <sheetView zoomScaleNormal="100" workbookViewId="0">
      <selection activeCell="F30" sqref="F30"/>
    </sheetView>
  </sheetViews>
  <sheetFormatPr defaultColWidth="8.85546875" defaultRowHeight="15"/>
  <cols>
    <col min="1" max="1" width="11.42578125" style="21" bestFit="1" customWidth="1"/>
    <col min="2" max="10" width="11.7109375" style="21" customWidth="1"/>
    <col min="11" max="16384" width="8.85546875" style="21"/>
  </cols>
  <sheetData>
    <row r="1" spans="1:10">
      <c r="A1" s="1296" t="s">
        <v>778</v>
      </c>
      <c r="B1" s="1296"/>
      <c r="C1" s="1296"/>
      <c r="D1" s="1296"/>
      <c r="E1" s="1296"/>
      <c r="F1" s="1296"/>
      <c r="G1" s="1296"/>
      <c r="H1" s="1296"/>
      <c r="I1" s="1296"/>
    </row>
    <row r="2" spans="1:10">
      <c r="A2" s="397"/>
      <c r="B2" s="397"/>
      <c r="C2" s="397"/>
      <c r="D2" s="397"/>
      <c r="E2" s="397"/>
      <c r="F2" s="397"/>
      <c r="G2" s="397"/>
      <c r="H2" s="397"/>
      <c r="I2" s="397"/>
      <c r="J2" s="110" t="s">
        <v>549</v>
      </c>
    </row>
    <row r="3" spans="1:10" s="22" customFormat="1">
      <c r="A3" s="1328" t="s">
        <v>779</v>
      </c>
      <c r="B3" s="1331" t="s">
        <v>239</v>
      </c>
      <c r="C3" s="1332"/>
      <c r="D3" s="1333"/>
      <c r="E3" s="1331" t="s">
        <v>780</v>
      </c>
      <c r="F3" s="1332"/>
      <c r="G3" s="1333"/>
      <c r="H3" s="1331" t="s">
        <v>53</v>
      </c>
      <c r="I3" s="1332"/>
      <c r="J3" s="1333"/>
    </row>
    <row r="4" spans="1:10" s="22" customFormat="1" ht="45">
      <c r="A4" s="1330"/>
      <c r="B4" s="398" t="s">
        <v>781</v>
      </c>
      <c r="C4" s="398" t="s">
        <v>782</v>
      </c>
      <c r="D4" s="398" t="s">
        <v>783</v>
      </c>
      <c r="E4" s="398" t="s">
        <v>781</v>
      </c>
      <c r="F4" s="398" t="s">
        <v>782</v>
      </c>
      <c r="G4" s="398" t="s">
        <v>783</v>
      </c>
      <c r="H4" s="398" t="s">
        <v>781</v>
      </c>
      <c r="I4" s="398" t="s">
        <v>782</v>
      </c>
      <c r="J4" s="398" t="s">
        <v>784</v>
      </c>
    </row>
    <row r="5" spans="1:10" s="22" customFormat="1">
      <c r="A5" s="556" t="s">
        <v>58</v>
      </c>
      <c r="B5" s="557">
        <v>807672.21</v>
      </c>
      <c r="C5" s="557">
        <v>715713.18000000017</v>
      </c>
      <c r="D5" s="557">
        <v>91959.03</v>
      </c>
      <c r="E5" s="557">
        <v>2263634.98</v>
      </c>
      <c r="F5" s="557">
        <v>1846883.0300000003</v>
      </c>
      <c r="G5" s="557">
        <v>416751.95</v>
      </c>
      <c r="H5" s="557">
        <v>3071307.19</v>
      </c>
      <c r="I5" s="557">
        <v>2562596.2100000004</v>
      </c>
      <c r="J5" s="557">
        <v>508710.97999999952</v>
      </c>
    </row>
    <row r="6" spans="1:10" s="22" customFormat="1">
      <c r="A6" s="556" t="s">
        <v>61</v>
      </c>
      <c r="B6" s="557">
        <f t="shared" ref="B6:G6" si="0">SUM(B7:B20)</f>
        <v>685107.91</v>
      </c>
      <c r="C6" s="557">
        <f t="shared" si="0"/>
        <v>810612.81</v>
      </c>
      <c r="D6" s="557">
        <f t="shared" si="0"/>
        <v>-125504.90000000001</v>
      </c>
      <c r="E6" s="557">
        <f t="shared" si="0"/>
        <v>1517497.6599999997</v>
      </c>
      <c r="F6" s="557">
        <f t="shared" si="0"/>
        <v>1304858.6200000001</v>
      </c>
      <c r="G6" s="557">
        <f t="shared" si="0"/>
        <v>212639.04</v>
      </c>
      <c r="H6" s="557">
        <f t="shared" ref="H6:J6" si="1">SUM(H7:H20)</f>
        <v>2202605.5699999998</v>
      </c>
      <c r="I6" s="557">
        <f t="shared" si="1"/>
        <v>2115471.4300000002</v>
      </c>
      <c r="J6" s="557">
        <f t="shared" si="1"/>
        <v>87134.139999999956</v>
      </c>
    </row>
    <row r="7" spans="1:10" s="22" customFormat="1">
      <c r="A7" s="556" t="s">
        <v>60</v>
      </c>
      <c r="B7" s="557">
        <v>54525.1</v>
      </c>
      <c r="C7" s="557">
        <v>62490.6</v>
      </c>
      <c r="D7" s="557">
        <v>-7965.5</v>
      </c>
      <c r="E7" s="557">
        <v>121444.56</v>
      </c>
      <c r="F7" s="557">
        <v>131239.1</v>
      </c>
      <c r="G7" s="557">
        <v>-9794.5400000000009</v>
      </c>
      <c r="H7" s="557">
        <v>175969.66</v>
      </c>
      <c r="I7" s="557">
        <v>193729.7</v>
      </c>
      <c r="J7" s="557">
        <v>-17760.040000000008</v>
      </c>
    </row>
    <row r="8" spans="1:10" s="22" customFormat="1">
      <c r="A8" s="556" t="s">
        <v>59</v>
      </c>
      <c r="B8" s="557">
        <v>70794.759999999995</v>
      </c>
      <c r="C8" s="557">
        <v>64272.31</v>
      </c>
      <c r="D8" s="557">
        <v>6522.45</v>
      </c>
      <c r="E8" s="557">
        <v>139959.84</v>
      </c>
      <c r="F8" s="557">
        <v>129260.47</v>
      </c>
      <c r="G8" s="557">
        <v>10699.37</v>
      </c>
      <c r="H8" s="557">
        <v>210754.59999999998</v>
      </c>
      <c r="I8" s="557">
        <v>193532.78</v>
      </c>
      <c r="J8" s="557">
        <v>17221.819999999978</v>
      </c>
    </row>
    <row r="9" spans="1:10" s="22" customFormat="1">
      <c r="A9" s="556" t="s">
        <v>310</v>
      </c>
      <c r="B9" s="557">
        <v>73265.58</v>
      </c>
      <c r="C9" s="557">
        <v>73767.08</v>
      </c>
      <c r="D9" s="557">
        <v>-501.5</v>
      </c>
      <c r="E9" s="557">
        <v>179002.03</v>
      </c>
      <c r="F9" s="557">
        <v>137637.32</v>
      </c>
      <c r="G9" s="557">
        <v>41364.71</v>
      </c>
      <c r="H9" s="557">
        <v>252267.61</v>
      </c>
      <c r="I9" s="557">
        <v>211404.40000000002</v>
      </c>
      <c r="J9" s="557">
        <v>40863.209999999963</v>
      </c>
    </row>
    <row r="10" spans="1:10" s="22" customFormat="1">
      <c r="A10" s="556" t="s">
        <v>356</v>
      </c>
      <c r="B10" s="557">
        <v>61103.69</v>
      </c>
      <c r="C10" s="557">
        <v>70298.73</v>
      </c>
      <c r="D10" s="557">
        <v>-9195.0400000000009</v>
      </c>
      <c r="E10" s="557">
        <v>171073.17</v>
      </c>
      <c r="F10" s="557">
        <v>139175.32</v>
      </c>
      <c r="G10" s="557">
        <v>31897.85</v>
      </c>
      <c r="H10" s="557">
        <v>232176.86000000002</v>
      </c>
      <c r="I10" s="557">
        <v>209474.05</v>
      </c>
      <c r="J10" s="557">
        <v>22702.810000000027</v>
      </c>
    </row>
    <row r="11" spans="1:10" s="22" customFormat="1">
      <c r="A11" s="556" t="s">
        <v>384</v>
      </c>
      <c r="B11" s="557">
        <v>56271.3</v>
      </c>
      <c r="C11" s="557">
        <v>65484.74</v>
      </c>
      <c r="D11" s="557">
        <v>-9213.44</v>
      </c>
      <c r="E11" s="557">
        <v>142115.71</v>
      </c>
      <c r="F11" s="557">
        <v>116335.43</v>
      </c>
      <c r="G11" s="557">
        <v>25780.28</v>
      </c>
      <c r="H11" s="557">
        <v>198387.01</v>
      </c>
      <c r="I11" s="557">
        <v>181820.16999999998</v>
      </c>
      <c r="J11" s="557">
        <v>16566.840000000026</v>
      </c>
    </row>
    <row r="12" spans="1:10" s="22" customFormat="1">
      <c r="A12" s="556" t="s">
        <v>386</v>
      </c>
      <c r="B12" s="557">
        <v>63901.29</v>
      </c>
      <c r="C12" s="557">
        <v>68035.66</v>
      </c>
      <c r="D12" s="557">
        <v>-4134.37</v>
      </c>
      <c r="E12" s="557">
        <v>151055.35999999999</v>
      </c>
      <c r="F12" s="557">
        <v>134050.39000000001</v>
      </c>
      <c r="G12" s="557">
        <v>17004.97</v>
      </c>
      <c r="H12" s="557">
        <v>214956.65</v>
      </c>
      <c r="I12" s="557">
        <v>202086.05000000002</v>
      </c>
      <c r="J12" s="557">
        <v>12870.599999999977</v>
      </c>
    </row>
    <row r="13" spans="1:10" s="22" customFormat="1">
      <c r="A13" s="556" t="s">
        <v>392</v>
      </c>
      <c r="B13" s="557">
        <v>48961.53</v>
      </c>
      <c r="C13" s="557">
        <v>63453.32</v>
      </c>
      <c r="D13" s="557">
        <v>-14491.79</v>
      </c>
      <c r="E13" s="557">
        <v>144610.72</v>
      </c>
      <c r="F13" s="557">
        <v>112635.61</v>
      </c>
      <c r="G13" s="557">
        <v>31975.11</v>
      </c>
      <c r="H13" s="557">
        <v>193572.25</v>
      </c>
      <c r="I13" s="557">
        <v>176088.93</v>
      </c>
      <c r="J13" s="557">
        <v>17483.320000000007</v>
      </c>
    </row>
    <row r="14" spans="1:10" s="22" customFormat="1">
      <c r="A14" s="556" t="s">
        <v>396</v>
      </c>
      <c r="B14" s="557">
        <v>49108.23</v>
      </c>
      <c r="C14" s="557">
        <v>79868.3</v>
      </c>
      <c r="D14" s="557">
        <v>-30760.07</v>
      </c>
      <c r="E14" s="557">
        <v>109628.89</v>
      </c>
      <c r="F14" s="557">
        <v>89279.54</v>
      </c>
      <c r="G14" s="557">
        <v>20349.349999999999</v>
      </c>
      <c r="H14" s="557">
        <v>158737.12</v>
      </c>
      <c r="I14" s="557">
        <v>169147.84</v>
      </c>
      <c r="J14" s="557">
        <f>H14-I14</f>
        <v>-10410.720000000001</v>
      </c>
    </row>
    <row r="15" spans="1:10" s="22" customFormat="1">
      <c r="A15" s="558">
        <v>44166</v>
      </c>
      <c r="B15" s="557">
        <v>61640.3</v>
      </c>
      <c r="C15" s="557">
        <v>88068.13</v>
      </c>
      <c r="D15" s="557">
        <v>-26427.83</v>
      </c>
      <c r="E15" s="557">
        <v>136875.26999999999</v>
      </c>
      <c r="F15" s="557">
        <v>113506.85</v>
      </c>
      <c r="G15" s="557">
        <v>23368.42</v>
      </c>
      <c r="H15" s="557">
        <f>B15+E15</f>
        <v>198515.57</v>
      </c>
      <c r="I15" s="557">
        <f t="shared" ref="I15:J15" si="2">C15+F15</f>
        <v>201574.98</v>
      </c>
      <c r="J15" s="557">
        <f t="shared" si="2"/>
        <v>-3059.4100000000035</v>
      </c>
    </row>
    <row r="16" spans="1:10" s="22" customFormat="1">
      <c r="A16" s="558">
        <v>44197</v>
      </c>
      <c r="B16" s="557">
        <v>71951.34</v>
      </c>
      <c r="C16" s="557">
        <v>84983.12</v>
      </c>
      <c r="D16" s="557">
        <v>-13031.78</v>
      </c>
      <c r="E16" s="557">
        <v>115125.2</v>
      </c>
      <c r="F16" s="557">
        <v>103293.46</v>
      </c>
      <c r="G16" s="557">
        <v>11831.74</v>
      </c>
      <c r="H16" s="557">
        <f>B16+E16</f>
        <v>187076.53999999998</v>
      </c>
      <c r="I16" s="557">
        <f t="shared" ref="I16" si="3">C16+F16</f>
        <v>188276.58000000002</v>
      </c>
      <c r="J16" s="557">
        <f t="shared" ref="J16" si="4">D16+G16</f>
        <v>-1200.0400000000009</v>
      </c>
    </row>
    <row r="17" spans="1:12" s="22" customFormat="1">
      <c r="A17" s="558">
        <v>44228</v>
      </c>
      <c r="B17" s="557">
        <v>73584.789999999994</v>
      </c>
      <c r="C17" s="557">
        <v>89890.82</v>
      </c>
      <c r="D17" s="557">
        <v>-16306.03</v>
      </c>
      <c r="E17" s="557">
        <v>106606.91</v>
      </c>
      <c r="F17" s="557">
        <v>98445.13</v>
      </c>
      <c r="G17" s="557">
        <v>8161.78</v>
      </c>
      <c r="H17" s="557">
        <f>B17+E17</f>
        <v>180191.7</v>
      </c>
      <c r="I17" s="557">
        <f t="shared" ref="I17" si="5">C17+F17</f>
        <v>188335.95</v>
      </c>
      <c r="J17" s="557">
        <f t="shared" ref="J17" si="6">D17+G17</f>
        <v>-8144.2500000000009</v>
      </c>
    </row>
    <row r="18" spans="1:12" s="22" customFormat="1">
      <c r="A18" s="561" t="s">
        <v>519</v>
      </c>
      <c r="B18" s="560"/>
      <c r="C18" s="560"/>
      <c r="D18" s="560"/>
      <c r="E18" s="559"/>
      <c r="F18" s="559"/>
      <c r="G18" s="560"/>
      <c r="H18" s="559"/>
      <c r="I18" s="559"/>
      <c r="J18" s="560"/>
    </row>
    <row r="19" spans="1:12" s="22" customFormat="1">
      <c r="A19" s="360" t="s">
        <v>1173</v>
      </c>
      <c r="B19" s="390"/>
      <c r="C19" s="390"/>
      <c r="D19" s="390"/>
      <c r="E19" s="390"/>
      <c r="F19" s="390"/>
      <c r="G19" s="390"/>
    </row>
    <row r="20" spans="1:12" s="22" customFormat="1">
      <c r="A20" s="1180" t="s">
        <v>72</v>
      </c>
      <c r="B20" s="1180"/>
      <c r="C20" s="1180"/>
      <c r="D20" s="1180"/>
      <c r="E20" s="1180"/>
      <c r="F20" s="1180"/>
      <c r="G20" s="1180"/>
    </row>
    <row r="21" spans="1:12">
      <c r="H21" s="525"/>
      <c r="I21" s="525"/>
      <c r="J21" s="525"/>
      <c r="K21" s="22"/>
      <c r="L21" s="22"/>
    </row>
    <row r="22" spans="1:12">
      <c r="H22" s="22"/>
      <c r="I22" s="22"/>
      <c r="J22" s="22"/>
      <c r="K22" s="22"/>
      <c r="L22" s="22"/>
    </row>
    <row r="23" spans="1:12">
      <c r="H23" s="22"/>
      <c r="I23" s="22"/>
      <c r="J23" s="22"/>
      <c r="K23" s="22"/>
      <c r="L23" s="22"/>
    </row>
    <row r="24" spans="1:12">
      <c r="A24" s="22"/>
      <c r="B24" s="22"/>
      <c r="C24" s="22"/>
      <c r="D24" s="22"/>
      <c r="E24" s="22"/>
      <c r="F24" s="22"/>
      <c r="G24" s="22"/>
      <c r="H24" s="22"/>
      <c r="I24" s="22"/>
      <c r="J24" s="22"/>
      <c r="K24" s="22"/>
      <c r="L24" s="22"/>
    </row>
    <row r="25" spans="1:12">
      <c r="A25" s="22"/>
      <c r="B25" s="22"/>
      <c r="C25" s="22"/>
      <c r="D25" s="22"/>
      <c r="E25" s="22"/>
      <c r="F25" s="22"/>
      <c r="G25" s="22"/>
      <c r="H25" s="22"/>
      <c r="I25" s="22"/>
      <c r="J25" s="22"/>
      <c r="K25" s="22"/>
      <c r="L25" s="22"/>
    </row>
    <row r="26" spans="1:12">
      <c r="A26" s="22"/>
      <c r="B26" s="22"/>
      <c r="C26" s="22"/>
      <c r="D26" s="22"/>
      <c r="E26" s="22"/>
      <c r="F26" s="22"/>
      <c r="G26" s="22"/>
      <c r="H26" s="22"/>
      <c r="I26" s="22"/>
      <c r="J26" s="22"/>
      <c r="K26" s="22"/>
      <c r="L26" s="22"/>
    </row>
    <row r="27" spans="1:12">
      <c r="A27" s="22"/>
      <c r="B27" s="22"/>
      <c r="C27" s="22"/>
      <c r="D27" s="22"/>
      <c r="E27" s="22"/>
      <c r="F27" s="22"/>
      <c r="G27" s="22"/>
      <c r="H27" s="22"/>
      <c r="I27" s="22"/>
      <c r="J27" s="22"/>
      <c r="K27" s="22"/>
      <c r="L27" s="22"/>
    </row>
    <row r="28" spans="1:12">
      <c r="A28" s="22"/>
      <c r="B28" s="22"/>
      <c r="C28" s="22"/>
      <c r="D28" s="22"/>
      <c r="E28" s="22"/>
      <c r="F28" s="22"/>
      <c r="G28" s="22"/>
      <c r="H28" s="22"/>
      <c r="I28" s="22"/>
      <c r="J28" s="22"/>
      <c r="K28" s="22"/>
      <c r="L28" s="22"/>
    </row>
    <row r="29" spans="1:12">
      <c r="A29" s="22"/>
      <c r="B29" s="22"/>
      <c r="C29" s="22"/>
      <c r="D29" s="22"/>
      <c r="E29" s="22"/>
      <c r="F29" s="22"/>
      <c r="G29" s="22"/>
      <c r="H29" s="22"/>
      <c r="I29" s="22"/>
      <c r="J29" s="22"/>
      <c r="K29" s="22"/>
      <c r="L29" s="22"/>
    </row>
    <row r="30" spans="1:12">
      <c r="A30" s="22"/>
      <c r="B30" s="22"/>
      <c r="C30" s="22"/>
      <c r="D30" s="22"/>
      <c r="E30" s="22"/>
      <c r="F30" s="22"/>
      <c r="G30" s="22"/>
      <c r="H30" s="22"/>
      <c r="I30" s="22"/>
      <c r="J30" s="22"/>
      <c r="K30" s="22"/>
      <c r="L30" s="22"/>
    </row>
    <row r="31" spans="1:12">
      <c r="A31" s="22"/>
      <c r="B31" s="22"/>
      <c r="C31" s="22"/>
      <c r="D31" s="22"/>
      <c r="E31" s="22"/>
      <c r="F31" s="22"/>
      <c r="G31" s="22"/>
      <c r="H31" s="22"/>
      <c r="I31" s="22"/>
      <c r="J31" s="22"/>
      <c r="K31" s="22"/>
      <c r="L31" s="22"/>
    </row>
    <row r="32" spans="1:12">
      <c r="A32" s="22"/>
      <c r="B32" s="22"/>
      <c r="C32" s="22"/>
      <c r="D32" s="22"/>
      <c r="E32" s="22"/>
      <c r="F32" s="22"/>
      <c r="G32" s="22"/>
      <c r="H32" s="22"/>
      <c r="I32" s="22"/>
      <c r="J32" s="22"/>
      <c r="K32" s="22"/>
      <c r="L32" s="22"/>
    </row>
    <row r="33" spans="1:12">
      <c r="A33" s="22"/>
      <c r="B33" s="22"/>
      <c r="C33" s="22"/>
      <c r="D33" s="22"/>
      <c r="E33" s="22"/>
      <c r="F33" s="22"/>
      <c r="G33" s="22"/>
      <c r="H33" s="22"/>
      <c r="I33" s="22"/>
      <c r="J33" s="22"/>
      <c r="K33" s="22"/>
      <c r="L33" s="22"/>
    </row>
    <row r="34" spans="1:12">
      <c r="A34" s="22"/>
      <c r="B34" s="525"/>
      <c r="C34" s="525"/>
      <c r="D34" s="525"/>
      <c r="E34" s="525"/>
      <c r="F34" s="525"/>
      <c r="G34" s="525"/>
      <c r="H34" s="525"/>
      <c r="I34" s="525"/>
      <c r="J34" s="525"/>
      <c r="K34" s="22"/>
      <c r="L34" s="22"/>
    </row>
    <row r="35" spans="1:12">
      <c r="A35" s="22"/>
      <c r="B35" s="525"/>
      <c r="C35" s="525"/>
      <c r="D35" s="525"/>
      <c r="E35" s="525"/>
      <c r="F35" s="525"/>
      <c r="G35" s="525"/>
      <c r="H35" s="525"/>
      <c r="I35" s="525"/>
      <c r="J35" s="525"/>
      <c r="K35" s="22"/>
      <c r="L35" s="22"/>
    </row>
    <row r="36" spans="1:12">
      <c r="A36" s="22"/>
      <c r="B36" s="525"/>
      <c r="C36" s="525"/>
      <c r="D36" s="525"/>
      <c r="E36" s="525"/>
      <c r="F36" s="525"/>
      <c r="G36" s="525"/>
      <c r="H36" s="525"/>
      <c r="I36" s="525"/>
      <c r="J36" s="525"/>
      <c r="K36" s="22"/>
      <c r="L36" s="22"/>
    </row>
    <row r="37" spans="1:12">
      <c r="A37" s="22"/>
      <c r="B37" s="525"/>
      <c r="C37" s="525"/>
      <c r="D37" s="525"/>
      <c r="E37" s="525"/>
      <c r="F37" s="525"/>
      <c r="G37" s="525"/>
      <c r="H37" s="525"/>
      <c r="I37" s="525"/>
      <c r="J37" s="525"/>
      <c r="K37" s="22"/>
      <c r="L37" s="22"/>
    </row>
    <row r="38" spans="1:12">
      <c r="A38" s="22"/>
      <c r="B38" s="525"/>
      <c r="C38" s="525"/>
      <c r="D38" s="525"/>
      <c r="E38" s="525"/>
      <c r="F38" s="525"/>
      <c r="G38" s="525"/>
      <c r="H38" s="525"/>
      <c r="I38" s="525"/>
      <c r="J38" s="525"/>
      <c r="K38" s="22"/>
      <c r="L38" s="22"/>
    </row>
    <row r="39" spans="1:12">
      <c r="A39" s="22"/>
      <c r="B39" s="525"/>
      <c r="C39" s="525"/>
      <c r="D39" s="525"/>
      <c r="E39" s="525"/>
      <c r="F39" s="525"/>
      <c r="G39" s="525"/>
      <c r="H39" s="525"/>
      <c r="I39" s="525"/>
      <c r="J39" s="525"/>
      <c r="K39" s="22"/>
      <c r="L39" s="22"/>
    </row>
    <row r="40" spans="1:12">
      <c r="A40" s="22"/>
      <c r="B40" s="525"/>
      <c r="C40" s="525"/>
      <c r="D40" s="525"/>
      <c r="E40" s="525"/>
      <c r="F40" s="525"/>
      <c r="G40" s="525"/>
      <c r="H40" s="525"/>
      <c r="I40" s="525"/>
      <c r="J40" s="525"/>
      <c r="K40" s="22"/>
      <c r="L40" s="22"/>
    </row>
    <row r="41" spans="1:12">
      <c r="A41" s="22"/>
      <c r="B41" s="525"/>
      <c r="C41" s="525"/>
      <c r="D41" s="525"/>
      <c r="E41" s="525"/>
      <c r="F41" s="525"/>
      <c r="G41" s="525"/>
      <c r="H41" s="525"/>
      <c r="I41" s="525"/>
      <c r="J41" s="525"/>
      <c r="K41" s="22"/>
      <c r="L41" s="22"/>
    </row>
    <row r="42" spans="1:12">
      <c r="A42" s="22"/>
      <c r="B42" s="525"/>
      <c r="C42" s="525"/>
      <c r="D42" s="525"/>
      <c r="E42" s="525"/>
      <c r="F42" s="525"/>
      <c r="G42" s="525"/>
      <c r="H42" s="525"/>
      <c r="I42" s="525"/>
      <c r="J42" s="525"/>
      <c r="K42" s="22"/>
      <c r="L42" s="22"/>
    </row>
    <row r="43" spans="1:12">
      <c r="A43" s="22"/>
      <c r="B43" s="525"/>
      <c r="C43" s="525"/>
      <c r="D43" s="525"/>
      <c r="E43" s="525"/>
      <c r="F43" s="525"/>
      <c r="G43" s="525"/>
      <c r="H43" s="525"/>
      <c r="I43" s="525"/>
      <c r="J43" s="525"/>
      <c r="K43" s="22"/>
      <c r="L43" s="22"/>
    </row>
    <row r="44" spans="1:12">
      <c r="A44" s="22"/>
      <c r="B44" s="525"/>
      <c r="C44" s="525"/>
      <c r="D44" s="525"/>
      <c r="E44" s="525"/>
      <c r="F44" s="525"/>
      <c r="G44" s="525"/>
      <c r="H44" s="525"/>
      <c r="I44" s="525"/>
      <c r="J44" s="525"/>
      <c r="K44" s="22"/>
      <c r="L44" s="22"/>
    </row>
    <row r="45" spans="1:12">
      <c r="A45" s="22"/>
      <c r="B45" s="22"/>
      <c r="C45" s="22"/>
      <c r="D45" s="22"/>
      <c r="E45" s="22"/>
      <c r="F45" s="22"/>
      <c r="G45" s="22"/>
      <c r="H45" s="22"/>
      <c r="I45" s="22"/>
      <c r="J45" s="22"/>
      <c r="K45" s="22"/>
      <c r="L45" s="22"/>
    </row>
    <row r="46" spans="1:12">
      <c r="A46" s="22"/>
      <c r="B46" s="22"/>
      <c r="C46" s="22"/>
      <c r="D46" s="22"/>
      <c r="E46" s="22"/>
      <c r="F46" s="22"/>
      <c r="G46" s="22"/>
      <c r="H46" s="22"/>
      <c r="I46" s="22"/>
      <c r="J46" s="22"/>
      <c r="K46" s="22"/>
      <c r="L46" s="22"/>
    </row>
    <row r="47" spans="1:12">
      <c r="A47" s="22"/>
      <c r="B47" s="22"/>
      <c r="C47" s="22"/>
      <c r="D47" s="22"/>
      <c r="E47" s="22"/>
      <c r="F47" s="22"/>
      <c r="G47" s="22"/>
      <c r="H47" s="22"/>
      <c r="I47" s="22"/>
      <c r="J47" s="22"/>
      <c r="K47" s="22"/>
      <c r="L47" s="22"/>
    </row>
    <row r="48" spans="1:12">
      <c r="A48" s="22"/>
      <c r="B48" s="22"/>
      <c r="C48" s="22"/>
      <c r="D48" s="22"/>
      <c r="E48" s="22"/>
      <c r="F48" s="22"/>
      <c r="G48" s="22"/>
      <c r="H48" s="22"/>
      <c r="I48" s="22"/>
      <c r="J48" s="22"/>
      <c r="K48" s="22"/>
      <c r="L48" s="22"/>
    </row>
    <row r="49" spans="1:12">
      <c r="A49" s="22"/>
      <c r="B49" s="22"/>
      <c r="C49" s="22"/>
      <c r="D49" s="22"/>
      <c r="E49" s="22"/>
      <c r="F49" s="22"/>
      <c r="G49" s="22"/>
      <c r="H49" s="22"/>
      <c r="I49" s="22"/>
      <c r="J49" s="22"/>
      <c r="K49" s="22"/>
      <c r="L49" s="22"/>
    </row>
    <row r="50" spans="1:12">
      <c r="A50" s="22"/>
      <c r="B50" s="22"/>
      <c r="C50" s="22"/>
      <c r="D50" s="22"/>
      <c r="E50" s="22"/>
      <c r="F50" s="22"/>
      <c r="G50" s="22"/>
      <c r="H50" s="22"/>
      <c r="I50" s="22"/>
      <c r="J50" s="22"/>
      <c r="K50" s="22"/>
      <c r="L50" s="22"/>
    </row>
    <row r="51" spans="1:12">
      <c r="A51" s="22"/>
      <c r="B51" s="22"/>
      <c r="C51" s="22"/>
      <c r="D51" s="22"/>
      <c r="E51" s="22"/>
      <c r="F51" s="22"/>
      <c r="G51" s="22"/>
      <c r="H51" s="22"/>
      <c r="I51" s="22"/>
      <c r="J51" s="22"/>
      <c r="K51" s="22"/>
      <c r="L51" s="22"/>
    </row>
    <row r="52" spans="1:12">
      <c r="A52" s="22"/>
      <c r="B52" s="22"/>
      <c r="C52" s="22"/>
      <c r="D52" s="22"/>
      <c r="E52" s="22"/>
      <c r="F52" s="22"/>
      <c r="G52" s="22"/>
      <c r="H52" s="22"/>
      <c r="I52" s="22"/>
      <c r="J52" s="22"/>
      <c r="K52" s="22"/>
      <c r="L52" s="22"/>
    </row>
    <row r="53" spans="1:12">
      <c r="A53" s="22"/>
      <c r="B53" s="22"/>
      <c r="C53" s="22"/>
      <c r="D53" s="22"/>
      <c r="E53" s="22"/>
      <c r="F53" s="22"/>
      <c r="G53" s="22"/>
      <c r="H53" s="22"/>
      <c r="I53" s="22"/>
      <c r="J53" s="22"/>
      <c r="K53" s="22"/>
      <c r="L53" s="22"/>
    </row>
    <row r="54" spans="1:12">
      <c r="A54" s="22"/>
      <c r="B54" s="22"/>
      <c r="C54" s="22"/>
      <c r="D54" s="22"/>
      <c r="E54" s="22"/>
      <c r="F54" s="22"/>
      <c r="G54" s="22"/>
      <c r="H54" s="22"/>
      <c r="I54" s="22"/>
      <c r="J54" s="22"/>
      <c r="K54" s="22"/>
      <c r="L54" s="22"/>
    </row>
    <row r="55" spans="1:12">
      <c r="A55" s="22"/>
      <c r="B55" s="22"/>
      <c r="C55" s="22"/>
      <c r="D55" s="22"/>
      <c r="E55" s="22"/>
      <c r="F55" s="22"/>
      <c r="G55" s="22"/>
      <c r="H55" s="22"/>
      <c r="I55" s="22"/>
      <c r="J55" s="22"/>
      <c r="K55" s="22"/>
      <c r="L55" s="22"/>
    </row>
    <row r="56" spans="1:12">
      <c r="A56" s="22"/>
      <c r="B56" s="22"/>
      <c r="C56" s="22"/>
      <c r="D56" s="22"/>
      <c r="E56" s="22"/>
      <c r="F56" s="22"/>
      <c r="G56" s="22"/>
      <c r="H56" s="22"/>
      <c r="I56" s="22"/>
      <c r="J56" s="22"/>
      <c r="K56" s="22"/>
      <c r="L56" s="22"/>
    </row>
    <row r="57" spans="1:12">
      <c r="A57" s="22"/>
      <c r="B57" s="525"/>
      <c r="C57" s="525"/>
      <c r="D57" s="525"/>
      <c r="E57" s="525"/>
      <c r="F57" s="525"/>
      <c r="G57" s="525"/>
      <c r="H57" s="525"/>
      <c r="I57" s="525"/>
      <c r="J57" s="525"/>
      <c r="K57" s="22"/>
      <c r="L57" s="22"/>
    </row>
    <row r="58" spans="1:12">
      <c r="A58" s="22"/>
      <c r="B58" s="525"/>
      <c r="C58" s="525"/>
      <c r="D58" s="525"/>
      <c r="E58" s="525"/>
      <c r="F58" s="525"/>
      <c r="G58" s="525"/>
      <c r="H58" s="525"/>
      <c r="I58" s="525"/>
      <c r="J58" s="525"/>
      <c r="K58" s="22"/>
      <c r="L58" s="22"/>
    </row>
    <row r="59" spans="1:12">
      <c r="A59" s="22"/>
      <c r="B59" s="525"/>
      <c r="C59" s="525"/>
      <c r="D59" s="525"/>
      <c r="E59" s="525"/>
      <c r="F59" s="525"/>
      <c r="G59" s="525"/>
      <c r="H59" s="525"/>
      <c r="I59" s="525"/>
      <c r="J59" s="525"/>
      <c r="K59" s="22"/>
      <c r="L59" s="22"/>
    </row>
    <row r="60" spans="1:12">
      <c r="B60" s="525"/>
      <c r="C60" s="525"/>
      <c r="D60" s="525"/>
      <c r="E60" s="525"/>
      <c r="F60" s="525"/>
      <c r="G60" s="525"/>
      <c r="H60" s="525"/>
      <c r="I60" s="525"/>
      <c r="J60" s="525"/>
    </row>
    <row r="61" spans="1:12">
      <c r="B61" s="525"/>
      <c r="C61" s="525"/>
      <c r="D61" s="525"/>
      <c r="E61" s="525"/>
      <c r="F61" s="525"/>
      <c r="G61" s="525"/>
      <c r="H61" s="525"/>
      <c r="I61" s="525"/>
      <c r="J61" s="525"/>
    </row>
    <row r="62" spans="1:12">
      <c r="B62" s="525"/>
      <c r="C62" s="525"/>
      <c r="D62" s="525"/>
      <c r="E62" s="525"/>
      <c r="F62" s="525"/>
      <c r="G62" s="525"/>
      <c r="H62" s="525"/>
      <c r="I62" s="525"/>
      <c r="J62" s="525"/>
    </row>
    <row r="63" spans="1:12">
      <c r="B63" s="525"/>
      <c r="C63" s="525"/>
      <c r="D63" s="525"/>
      <c r="E63" s="525"/>
      <c r="F63" s="525"/>
      <c r="G63" s="525"/>
      <c r="H63" s="525"/>
      <c r="I63" s="525"/>
      <c r="J63" s="525"/>
    </row>
    <row r="64" spans="1:12">
      <c r="B64" s="525"/>
      <c r="C64" s="525"/>
      <c r="D64" s="525"/>
      <c r="E64" s="525"/>
      <c r="F64" s="525"/>
      <c r="G64" s="525"/>
      <c r="H64" s="525"/>
      <c r="I64" s="525"/>
      <c r="J64" s="525"/>
    </row>
    <row r="65" spans="2:10">
      <c r="B65" s="525"/>
      <c r="C65" s="525"/>
      <c r="D65" s="525"/>
      <c r="E65" s="525"/>
      <c r="F65" s="525"/>
      <c r="G65" s="525"/>
      <c r="H65" s="525"/>
      <c r="I65" s="525"/>
      <c r="J65" s="525"/>
    </row>
    <row r="66" spans="2:10">
      <c r="B66" s="525"/>
      <c r="C66" s="525"/>
      <c r="D66" s="525"/>
      <c r="E66" s="525"/>
      <c r="F66" s="525"/>
      <c r="G66" s="525"/>
      <c r="H66" s="525"/>
      <c r="I66" s="525"/>
      <c r="J66" s="525"/>
    </row>
    <row r="67" spans="2:10">
      <c r="B67" s="525"/>
      <c r="C67" s="525"/>
      <c r="D67" s="525"/>
      <c r="E67" s="525"/>
      <c r="F67" s="525"/>
      <c r="G67" s="525"/>
      <c r="H67" s="525"/>
      <c r="I67" s="525"/>
      <c r="J67" s="525"/>
    </row>
    <row r="68" spans="2:10">
      <c r="B68" s="525"/>
      <c r="C68" s="525"/>
      <c r="D68" s="525"/>
      <c r="E68" s="525"/>
      <c r="F68" s="525"/>
      <c r="G68" s="525"/>
      <c r="H68" s="525"/>
      <c r="I68" s="525"/>
      <c r="J68" s="525"/>
    </row>
    <row r="69" spans="2:10">
      <c r="B69" s="525"/>
      <c r="C69" s="525"/>
      <c r="D69" s="525"/>
      <c r="E69" s="525"/>
      <c r="F69" s="525"/>
      <c r="G69" s="525"/>
      <c r="H69" s="525"/>
      <c r="I69" s="525"/>
      <c r="J69" s="525"/>
    </row>
    <row r="70" spans="2:10">
      <c r="B70" s="525"/>
      <c r="C70" s="525"/>
      <c r="D70" s="525"/>
      <c r="E70" s="525"/>
      <c r="F70" s="525"/>
      <c r="G70" s="525"/>
      <c r="H70" s="525"/>
      <c r="I70" s="525"/>
      <c r="J70" s="525"/>
    </row>
  </sheetData>
  <mergeCells count="6">
    <mergeCell ref="A20:G20"/>
    <mergeCell ref="A1:I1"/>
    <mergeCell ref="A3:A4"/>
    <mergeCell ref="B3:D3"/>
    <mergeCell ref="E3:G3"/>
    <mergeCell ref="H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7"/>
  <sheetViews>
    <sheetView workbookViewId="0">
      <selection activeCell="B8" sqref="B8:B18"/>
    </sheetView>
  </sheetViews>
  <sheetFormatPr defaultColWidth="10.42578125" defaultRowHeight="15"/>
  <cols>
    <col min="1" max="16384" width="10.42578125" style="21"/>
  </cols>
  <sheetData>
    <row r="1" spans="1:17" ht="17.25" customHeight="1">
      <c r="A1" s="1204" t="s">
        <v>276</v>
      </c>
      <c r="B1" s="1204"/>
      <c r="C1" s="1204"/>
      <c r="D1" s="1204"/>
      <c r="E1" s="1204"/>
      <c r="F1" s="1204"/>
      <c r="G1" s="1204"/>
      <c r="H1" s="1204"/>
      <c r="I1" s="1204"/>
      <c r="J1" s="1204"/>
      <c r="K1" s="1204"/>
      <c r="L1" s="1204"/>
      <c r="M1" s="1204"/>
      <c r="N1" s="1204"/>
      <c r="O1" s="1204"/>
    </row>
    <row r="2" spans="1:17" ht="18" customHeight="1">
      <c r="A2" s="1205" t="s">
        <v>51</v>
      </c>
      <c r="B2" s="1206" t="s">
        <v>277</v>
      </c>
      <c r="C2" s="1207"/>
      <c r="D2" s="1212" t="s">
        <v>278</v>
      </c>
      <c r="E2" s="1213"/>
      <c r="F2" s="1213"/>
      <c r="G2" s="1213"/>
      <c r="H2" s="1213"/>
      <c r="I2" s="1213"/>
      <c r="J2" s="1213"/>
      <c r="K2" s="1213"/>
      <c r="L2" s="1213"/>
      <c r="M2" s="1213"/>
      <c r="N2" s="1213"/>
      <c r="O2" s="1214"/>
      <c r="P2" s="1197" t="s">
        <v>279</v>
      </c>
      <c r="Q2" s="1197"/>
    </row>
    <row r="3" spans="1:17" s="22" customFormat="1" ht="15" customHeight="1">
      <c r="A3" s="1205"/>
      <c r="B3" s="1208"/>
      <c r="C3" s="1209"/>
      <c r="D3" s="1198" t="s">
        <v>321</v>
      </c>
      <c r="E3" s="1198"/>
      <c r="F3" s="1198"/>
      <c r="G3" s="1198"/>
      <c r="H3" s="1198" t="s">
        <v>62</v>
      </c>
      <c r="I3" s="1198"/>
      <c r="J3" s="1198"/>
      <c r="K3" s="1198"/>
      <c r="L3" s="1198" t="s">
        <v>322</v>
      </c>
      <c r="M3" s="1198"/>
      <c r="N3" s="1198"/>
      <c r="O3" s="1198"/>
      <c r="P3" s="1199" t="s">
        <v>69</v>
      </c>
      <c r="Q3" s="1199" t="s">
        <v>441</v>
      </c>
    </row>
    <row r="4" spans="1:17" s="22" customFormat="1">
      <c r="A4" s="1205"/>
      <c r="B4" s="1210"/>
      <c r="C4" s="1211"/>
      <c r="D4" s="1202" t="s">
        <v>63</v>
      </c>
      <c r="E4" s="1203"/>
      <c r="F4" s="1202" t="s">
        <v>64</v>
      </c>
      <c r="G4" s="1203"/>
      <c r="H4" s="1202" t="s">
        <v>65</v>
      </c>
      <c r="I4" s="1203"/>
      <c r="J4" s="1202" t="s">
        <v>66</v>
      </c>
      <c r="K4" s="1203"/>
      <c r="L4" s="1202" t="s">
        <v>67</v>
      </c>
      <c r="M4" s="1203"/>
      <c r="N4" s="1202" t="s">
        <v>68</v>
      </c>
      <c r="O4" s="1203"/>
      <c r="P4" s="1200"/>
      <c r="Q4" s="1200"/>
    </row>
    <row r="5" spans="1:17" s="22" customFormat="1" ht="30">
      <c r="A5" s="1205"/>
      <c r="B5" s="63" t="s">
        <v>69</v>
      </c>
      <c r="C5" s="63" t="s">
        <v>441</v>
      </c>
      <c r="D5" s="63" t="s">
        <v>69</v>
      </c>
      <c r="E5" s="63" t="s">
        <v>441</v>
      </c>
      <c r="F5" s="63" t="s">
        <v>69</v>
      </c>
      <c r="G5" s="63" t="s">
        <v>441</v>
      </c>
      <c r="H5" s="63" t="s">
        <v>69</v>
      </c>
      <c r="I5" s="63" t="s">
        <v>441</v>
      </c>
      <c r="J5" s="63" t="s">
        <v>69</v>
      </c>
      <c r="K5" s="63" t="s">
        <v>441</v>
      </c>
      <c r="L5" s="63" t="s">
        <v>69</v>
      </c>
      <c r="M5" s="63" t="s">
        <v>441</v>
      </c>
      <c r="N5" s="63" t="s">
        <v>69</v>
      </c>
      <c r="O5" s="63" t="s">
        <v>441</v>
      </c>
      <c r="P5" s="1201"/>
      <c r="Q5" s="1201"/>
    </row>
    <row r="6" spans="1:17" s="23" customFormat="1" ht="15" customHeight="1">
      <c r="A6" s="64" t="s">
        <v>58</v>
      </c>
      <c r="B6" s="65">
        <f t="shared" ref="B6:C9" si="0">D6+F6+P6</f>
        <v>110</v>
      </c>
      <c r="C6" s="65">
        <f t="shared" si="0"/>
        <v>91948.935435799998</v>
      </c>
      <c r="D6" s="66">
        <v>60</v>
      </c>
      <c r="E6" s="67">
        <v>21322.873772599996</v>
      </c>
      <c r="F6" s="66">
        <v>16</v>
      </c>
      <c r="G6" s="67">
        <v>55642.041663199998</v>
      </c>
      <c r="H6" s="66">
        <v>19</v>
      </c>
      <c r="I6" s="67">
        <v>55679.271663200001</v>
      </c>
      <c r="J6" s="66">
        <v>57</v>
      </c>
      <c r="K6" s="67">
        <v>21285.65</v>
      </c>
      <c r="L6" s="66">
        <v>2</v>
      </c>
      <c r="M6" s="67">
        <v>8.74</v>
      </c>
      <c r="N6" s="66">
        <v>74</v>
      </c>
      <c r="O6" s="67">
        <v>76956.181663199983</v>
      </c>
      <c r="P6" s="65">
        <v>34</v>
      </c>
      <c r="Q6" s="67">
        <v>14984.02</v>
      </c>
    </row>
    <row r="7" spans="1:17" s="23" customFormat="1" ht="15" customHeight="1">
      <c r="A7" s="64" t="s">
        <v>61</v>
      </c>
      <c r="B7" s="65">
        <f>SUM(B8:B18)</f>
        <v>75</v>
      </c>
      <c r="C7" s="65">
        <f>SUM(C8:C18)</f>
        <v>113352.37075199999</v>
      </c>
      <c r="D7" s="65">
        <f t="shared" ref="D7:Q7" si="1">SUM(D8:D18)</f>
        <v>41</v>
      </c>
      <c r="E7" s="65">
        <f t="shared" si="1"/>
        <v>39677.961274999994</v>
      </c>
      <c r="F7" s="65">
        <f t="shared" si="1"/>
        <v>18</v>
      </c>
      <c r="G7" s="65">
        <f t="shared" si="1"/>
        <v>63986.759477000007</v>
      </c>
      <c r="H7" s="65">
        <f t="shared" si="1"/>
        <v>19</v>
      </c>
      <c r="I7" s="65">
        <f t="shared" si="1"/>
        <v>78986.759477000014</v>
      </c>
      <c r="J7" s="65">
        <f t="shared" si="1"/>
        <v>40</v>
      </c>
      <c r="K7" s="65">
        <f t="shared" si="1"/>
        <v>24677.961274999998</v>
      </c>
      <c r="L7" s="65">
        <f t="shared" si="1"/>
        <v>0</v>
      </c>
      <c r="M7" s="65">
        <f t="shared" si="1"/>
        <v>0</v>
      </c>
      <c r="N7" s="65">
        <f t="shared" si="1"/>
        <v>59</v>
      </c>
      <c r="O7" s="65">
        <f t="shared" si="1"/>
        <v>103664.72445199998</v>
      </c>
      <c r="P7" s="65">
        <f t="shared" si="1"/>
        <v>16</v>
      </c>
      <c r="Q7" s="65">
        <f t="shared" si="1"/>
        <v>9687.6500000000015</v>
      </c>
    </row>
    <row r="8" spans="1:17" s="22" customFormat="1" ht="13.5" customHeight="1">
      <c r="A8" s="207">
        <v>43922</v>
      </c>
      <c r="B8" s="208">
        <f t="shared" si="0"/>
        <v>4</v>
      </c>
      <c r="C8" s="208">
        <f t="shared" si="0"/>
        <v>116.31</v>
      </c>
      <c r="D8" s="209">
        <v>3</v>
      </c>
      <c r="E8" s="210">
        <v>13.92</v>
      </c>
      <c r="F8" s="208">
        <v>0</v>
      </c>
      <c r="G8" s="208">
        <v>0</v>
      </c>
      <c r="H8" s="208">
        <v>0</v>
      </c>
      <c r="I8" s="208">
        <v>0</v>
      </c>
      <c r="J8" s="209">
        <v>3</v>
      </c>
      <c r="K8" s="210">
        <v>13.92</v>
      </c>
      <c r="L8" s="209">
        <v>0</v>
      </c>
      <c r="M8" s="209">
        <v>0</v>
      </c>
      <c r="N8" s="209">
        <v>3</v>
      </c>
      <c r="O8" s="210">
        <v>13.92</v>
      </c>
      <c r="P8" s="208">
        <v>1</v>
      </c>
      <c r="Q8" s="210">
        <v>102.39</v>
      </c>
    </row>
    <row r="9" spans="1:17" s="22" customFormat="1" ht="13.5" customHeight="1">
      <c r="A9" s="207">
        <v>43952</v>
      </c>
      <c r="B9" s="208">
        <f t="shared" si="0"/>
        <v>1</v>
      </c>
      <c r="C9" s="208">
        <f t="shared" si="0"/>
        <v>297.25</v>
      </c>
      <c r="D9" s="209">
        <v>0</v>
      </c>
      <c r="E9" s="209">
        <v>0</v>
      </c>
      <c r="F9" s="208">
        <v>0</v>
      </c>
      <c r="G9" s="208">
        <v>0</v>
      </c>
      <c r="H9" s="208">
        <v>0</v>
      </c>
      <c r="I9" s="208">
        <v>0</v>
      </c>
      <c r="J9" s="209">
        <v>0</v>
      </c>
      <c r="K9" s="209">
        <v>0</v>
      </c>
      <c r="L9" s="209">
        <v>0</v>
      </c>
      <c r="M9" s="209">
        <v>0</v>
      </c>
      <c r="N9" s="209">
        <v>0</v>
      </c>
      <c r="O9" s="209">
        <v>0</v>
      </c>
      <c r="P9" s="209">
        <v>1</v>
      </c>
      <c r="Q9" s="208">
        <v>297.25</v>
      </c>
    </row>
    <row r="10" spans="1:17" s="22" customFormat="1" ht="13.5" customHeight="1">
      <c r="A10" s="207">
        <v>43983</v>
      </c>
      <c r="B10" s="208">
        <f>D10+F10+P10</f>
        <v>4</v>
      </c>
      <c r="C10" s="208">
        <f>E10+G10+Q10</f>
        <v>53448.84</v>
      </c>
      <c r="D10" s="209">
        <v>1</v>
      </c>
      <c r="E10" s="211">
        <v>2.46</v>
      </c>
      <c r="F10" s="208">
        <v>1</v>
      </c>
      <c r="G10" s="208">
        <v>53124.2</v>
      </c>
      <c r="H10" s="208">
        <v>1</v>
      </c>
      <c r="I10" s="208">
        <v>53124.2</v>
      </c>
      <c r="J10" s="208">
        <v>1</v>
      </c>
      <c r="K10" s="208">
        <v>2.46</v>
      </c>
      <c r="L10" s="209">
        <v>0</v>
      </c>
      <c r="M10" s="209">
        <v>0</v>
      </c>
      <c r="N10" s="209">
        <v>2</v>
      </c>
      <c r="O10" s="210">
        <f>E10+G10</f>
        <v>53126.659999999996</v>
      </c>
      <c r="P10" s="209">
        <v>2</v>
      </c>
      <c r="Q10" s="208">
        <v>322.18</v>
      </c>
    </row>
    <row r="11" spans="1:17" s="22" customFormat="1" ht="13.5" customHeight="1">
      <c r="A11" s="207">
        <v>44013</v>
      </c>
      <c r="B11" s="208">
        <v>6</v>
      </c>
      <c r="C11" s="208">
        <v>16070.569975000002</v>
      </c>
      <c r="D11" s="209">
        <v>4</v>
      </c>
      <c r="E11" s="211">
        <v>15510.779975000001</v>
      </c>
      <c r="F11" s="208">
        <v>1</v>
      </c>
      <c r="G11" s="208">
        <v>399.79</v>
      </c>
      <c r="H11" s="208">
        <v>2</v>
      </c>
      <c r="I11" s="208">
        <v>15399.79</v>
      </c>
      <c r="J11" s="208">
        <v>3</v>
      </c>
      <c r="K11" s="208">
        <v>510.77997499999998</v>
      </c>
      <c r="L11" s="209">
        <v>0</v>
      </c>
      <c r="M11" s="209">
        <v>0</v>
      </c>
      <c r="N11" s="209">
        <v>5</v>
      </c>
      <c r="O11" s="210">
        <v>15910.569975000002</v>
      </c>
      <c r="P11" s="209">
        <v>1</v>
      </c>
      <c r="Q11" s="208">
        <v>160</v>
      </c>
    </row>
    <row r="12" spans="1:17" s="22" customFormat="1" ht="13.5" customHeight="1">
      <c r="A12" s="207">
        <v>44044</v>
      </c>
      <c r="B12" s="208">
        <f t="shared" ref="B12:C14" si="2">D12+F12+P12</f>
        <v>9</v>
      </c>
      <c r="C12" s="208">
        <f t="shared" si="2"/>
        <v>6107.75</v>
      </c>
      <c r="D12" s="209">
        <v>2</v>
      </c>
      <c r="E12" s="211">
        <v>11.45</v>
      </c>
      <c r="F12" s="208">
        <v>7</v>
      </c>
      <c r="G12" s="208">
        <v>6096.3</v>
      </c>
      <c r="H12" s="208">
        <v>7</v>
      </c>
      <c r="I12" s="208">
        <v>6096.3</v>
      </c>
      <c r="J12" s="208">
        <v>2</v>
      </c>
      <c r="K12" s="208">
        <v>11.45</v>
      </c>
      <c r="L12" s="209">
        <v>0</v>
      </c>
      <c r="M12" s="209">
        <v>0</v>
      </c>
      <c r="N12" s="209">
        <v>9</v>
      </c>
      <c r="O12" s="210">
        <v>6107.75</v>
      </c>
      <c r="P12" s="209">
        <v>0</v>
      </c>
      <c r="Q12" s="208">
        <v>0</v>
      </c>
    </row>
    <row r="13" spans="1:17" s="22" customFormat="1" ht="13.5" customHeight="1">
      <c r="A13" s="207">
        <v>44075</v>
      </c>
      <c r="B13" s="208">
        <f t="shared" si="2"/>
        <v>6</v>
      </c>
      <c r="C13" s="208">
        <f t="shared" si="2"/>
        <v>1821.2944770000001</v>
      </c>
      <c r="D13" s="209">
        <v>3</v>
      </c>
      <c r="E13" s="211">
        <v>1308.905</v>
      </c>
      <c r="F13" s="208">
        <v>2</v>
      </c>
      <c r="G13" s="208">
        <v>362.68947700000001</v>
      </c>
      <c r="H13" s="208">
        <v>2</v>
      </c>
      <c r="I13" s="208">
        <v>362.68947700000001</v>
      </c>
      <c r="J13" s="208">
        <v>3</v>
      </c>
      <c r="K13" s="208">
        <v>1308.905</v>
      </c>
      <c r="L13" s="209">
        <v>0</v>
      </c>
      <c r="M13" s="209">
        <v>0</v>
      </c>
      <c r="N13" s="209">
        <v>5</v>
      </c>
      <c r="O13" s="210">
        <v>1671.5944769999999</v>
      </c>
      <c r="P13" s="209">
        <v>1</v>
      </c>
      <c r="Q13" s="208">
        <v>149.69999999999999</v>
      </c>
    </row>
    <row r="14" spans="1:17" s="22" customFormat="1" ht="13.5" customHeight="1">
      <c r="A14" s="207">
        <v>44105</v>
      </c>
      <c r="B14" s="208">
        <f t="shared" si="2"/>
        <v>20</v>
      </c>
      <c r="C14" s="208">
        <f t="shared" si="2"/>
        <v>9137.6062999999995</v>
      </c>
      <c r="D14" s="209">
        <v>14</v>
      </c>
      <c r="E14" s="211">
        <v>5887.1462999999985</v>
      </c>
      <c r="F14" s="208">
        <v>3</v>
      </c>
      <c r="G14" s="208">
        <v>553.46</v>
      </c>
      <c r="H14" s="208">
        <v>3</v>
      </c>
      <c r="I14" s="208">
        <v>553.46</v>
      </c>
      <c r="J14" s="208">
        <v>14</v>
      </c>
      <c r="K14" s="208">
        <v>5887.1462999999985</v>
      </c>
      <c r="L14" s="209">
        <v>0</v>
      </c>
      <c r="M14" s="209">
        <v>0</v>
      </c>
      <c r="N14" s="209">
        <v>17</v>
      </c>
      <c r="O14" s="210">
        <v>6440.61</v>
      </c>
      <c r="P14" s="209">
        <v>3</v>
      </c>
      <c r="Q14" s="208">
        <f>300+397+2000</f>
        <v>2697</v>
      </c>
    </row>
    <row r="15" spans="1:17" s="62" customFormat="1" ht="13.5" customHeight="1">
      <c r="A15" s="212">
        <v>44136</v>
      </c>
      <c r="B15" s="213">
        <f t="shared" ref="B15" si="3">D15+F15+P15</f>
        <v>5</v>
      </c>
      <c r="C15" s="213">
        <f t="shared" ref="C15:C16" si="4">E15+G15+Q15</f>
        <v>7212.57</v>
      </c>
      <c r="D15" s="214">
        <v>3</v>
      </c>
      <c r="E15" s="173">
        <v>6998.74</v>
      </c>
      <c r="F15" s="213">
        <v>1</v>
      </c>
      <c r="G15" s="213">
        <v>71.3</v>
      </c>
      <c r="H15" s="213">
        <v>1</v>
      </c>
      <c r="I15" s="213">
        <v>71.3</v>
      </c>
      <c r="J15" s="213">
        <v>3</v>
      </c>
      <c r="K15" s="213">
        <v>6998.74</v>
      </c>
      <c r="L15" s="214">
        <v>0</v>
      </c>
      <c r="M15" s="214">
        <v>0</v>
      </c>
      <c r="N15" s="214">
        <v>4</v>
      </c>
      <c r="O15" s="215">
        <v>7070.04</v>
      </c>
      <c r="P15" s="214">
        <v>1</v>
      </c>
      <c r="Q15" s="213">
        <v>142.53</v>
      </c>
    </row>
    <row r="16" spans="1:17" s="62" customFormat="1" ht="13.5" customHeight="1">
      <c r="A16" s="207">
        <v>44166</v>
      </c>
      <c r="B16" s="213">
        <f>D16+F16+P16</f>
        <v>4</v>
      </c>
      <c r="C16" s="213">
        <f t="shared" si="4"/>
        <v>1652.4</v>
      </c>
      <c r="D16" s="214">
        <v>3</v>
      </c>
      <c r="E16" s="173">
        <v>1353.24</v>
      </c>
      <c r="F16" s="213">
        <v>1</v>
      </c>
      <c r="G16" s="213">
        <v>299.16000000000003</v>
      </c>
      <c r="H16" s="213">
        <v>1</v>
      </c>
      <c r="I16" s="213">
        <v>299.16000000000003</v>
      </c>
      <c r="J16" s="213">
        <v>3</v>
      </c>
      <c r="K16" s="213">
        <v>1353.24</v>
      </c>
      <c r="L16" s="214">
        <v>0</v>
      </c>
      <c r="M16" s="214">
        <v>0</v>
      </c>
      <c r="N16" s="214">
        <v>4</v>
      </c>
      <c r="O16" s="215">
        <v>1652.4</v>
      </c>
      <c r="P16" s="214">
        <v>0</v>
      </c>
      <c r="Q16" s="213">
        <v>0</v>
      </c>
    </row>
    <row r="17" spans="1:17" s="62" customFormat="1" ht="13.5" customHeight="1">
      <c r="A17" s="207">
        <v>44227</v>
      </c>
      <c r="B17" s="213">
        <f>D17+F17+P17</f>
        <v>7</v>
      </c>
      <c r="C17" s="213">
        <f t="shared" ref="C17:C18" si="5">E17+G17+Q17</f>
        <v>10262.220000000001</v>
      </c>
      <c r="D17" s="214">
        <v>2</v>
      </c>
      <c r="E17" s="173">
        <v>4933.37</v>
      </c>
      <c r="F17" s="213">
        <v>1</v>
      </c>
      <c r="G17" s="213">
        <v>81.25</v>
      </c>
      <c r="H17" s="213">
        <v>1</v>
      </c>
      <c r="I17" s="213">
        <v>81.25</v>
      </c>
      <c r="J17" s="213">
        <v>2</v>
      </c>
      <c r="K17" s="213">
        <v>4933.37</v>
      </c>
      <c r="L17" s="214">
        <v>0</v>
      </c>
      <c r="M17" s="214">
        <v>0</v>
      </c>
      <c r="N17" s="214">
        <v>3</v>
      </c>
      <c r="O17" s="215">
        <v>5014.62</v>
      </c>
      <c r="P17" s="214">
        <v>4</v>
      </c>
      <c r="Q17" s="213">
        <v>5247.6</v>
      </c>
    </row>
    <row r="18" spans="1:17" s="62" customFormat="1" ht="13.5" customHeight="1">
      <c r="A18" s="207">
        <v>44228</v>
      </c>
      <c r="B18" s="213">
        <f>D18+F18+P18</f>
        <v>9</v>
      </c>
      <c r="C18" s="213">
        <f t="shared" si="5"/>
        <v>7225.5599999999995</v>
      </c>
      <c r="D18" s="214">
        <v>6</v>
      </c>
      <c r="E18" s="173">
        <v>3657.95</v>
      </c>
      <c r="F18" s="213">
        <v>1</v>
      </c>
      <c r="G18" s="213">
        <v>2998.61</v>
      </c>
      <c r="H18" s="213">
        <v>1</v>
      </c>
      <c r="I18" s="213">
        <v>2998.61</v>
      </c>
      <c r="J18" s="213">
        <v>6</v>
      </c>
      <c r="K18" s="213">
        <v>3657.95</v>
      </c>
      <c r="L18" s="214">
        <v>0</v>
      </c>
      <c r="M18" s="214">
        <v>0</v>
      </c>
      <c r="N18" s="214">
        <v>7</v>
      </c>
      <c r="O18" s="215">
        <v>6656.56</v>
      </c>
      <c r="P18" s="214">
        <v>2</v>
      </c>
      <c r="Q18" s="213">
        <v>569</v>
      </c>
    </row>
    <row r="19" spans="1:17" s="22" customFormat="1" ht="15" customHeight="1">
      <c r="A19" s="85" t="s">
        <v>36</v>
      </c>
      <c r="B19" s="38"/>
      <c r="C19" s="38"/>
      <c r="D19" s="38"/>
      <c r="E19" s="70"/>
      <c r="F19" s="38"/>
      <c r="G19" s="70"/>
      <c r="H19" s="38"/>
      <c r="I19" s="70"/>
      <c r="J19" s="38"/>
      <c r="K19" s="70"/>
      <c r="L19" s="38"/>
      <c r="M19" s="70"/>
      <c r="N19" s="38"/>
      <c r="O19" s="70"/>
    </row>
    <row r="20" spans="1:17" s="22" customFormat="1">
      <c r="A20" s="1215" t="s">
        <v>282</v>
      </c>
      <c r="B20" s="1215"/>
      <c r="C20" s="1215"/>
      <c r="D20" s="1215"/>
      <c r="E20" s="1215"/>
      <c r="F20" s="1215"/>
      <c r="G20" s="1215"/>
      <c r="H20" s="1215"/>
      <c r="I20" s="1215"/>
      <c r="J20" s="1215"/>
      <c r="K20" s="1215"/>
      <c r="L20" s="1215"/>
      <c r="M20" s="1215"/>
      <c r="N20" s="1215"/>
      <c r="O20" s="1215"/>
    </row>
    <row r="21" spans="1:17" s="22" customFormat="1" ht="17.25" customHeight="1">
      <c r="A21" s="1216" t="s">
        <v>352</v>
      </c>
      <c r="B21" s="1216"/>
      <c r="C21" s="1216"/>
      <c r="D21" s="1216"/>
      <c r="E21" s="1216"/>
      <c r="F21" s="1216"/>
      <c r="G21" s="1216"/>
      <c r="H21" s="1216"/>
      <c r="I21" s="1216"/>
      <c r="J21" s="1216"/>
      <c r="K21" s="1216"/>
      <c r="L21" s="1216"/>
      <c r="M21" s="1216"/>
      <c r="N21" s="1216"/>
      <c r="O21" s="1216"/>
    </row>
    <row r="22" spans="1:17" s="22" customFormat="1" ht="17.25" customHeight="1">
      <c r="A22" s="1216" t="s">
        <v>313</v>
      </c>
      <c r="B22" s="1216"/>
      <c r="C22" s="1216"/>
      <c r="D22" s="1216"/>
      <c r="E22" s="1216"/>
      <c r="F22" s="1216"/>
      <c r="G22" s="1216"/>
      <c r="H22" s="1216"/>
      <c r="I22" s="1216"/>
      <c r="J22" s="1216"/>
      <c r="K22" s="1216"/>
      <c r="L22" s="1216"/>
      <c r="M22" s="1216"/>
      <c r="N22" s="1216"/>
      <c r="O22" s="1216"/>
    </row>
    <row r="23" spans="1:17" s="22" customFormat="1" ht="12" customHeight="1">
      <c r="A23" s="1217" t="s">
        <v>1175</v>
      </c>
      <c r="B23" s="1217"/>
      <c r="C23" s="1217"/>
    </row>
    <row r="24" spans="1:17" s="22" customFormat="1">
      <c r="A24" s="1215" t="s">
        <v>43</v>
      </c>
      <c r="B24" s="1215"/>
      <c r="C24" s="1215"/>
      <c r="D24" s="1215"/>
      <c r="E24" s="1215"/>
      <c r="F24" s="1215"/>
      <c r="G24" s="1215"/>
      <c r="H24" s="1215"/>
      <c r="I24" s="1215"/>
      <c r="J24" s="1215"/>
      <c r="K24" s="1215"/>
      <c r="L24" s="1215"/>
      <c r="M24" s="1215"/>
      <c r="N24" s="1215"/>
      <c r="O24" s="1215"/>
    </row>
    <row r="25" spans="1:17">
      <c r="F25" s="71"/>
    </row>
    <row r="27" spans="1:17">
      <c r="E27" s="151"/>
      <c r="I27" s="72"/>
    </row>
  </sheetData>
  <mergeCells count="21">
    <mergeCell ref="A20:O20"/>
    <mergeCell ref="A21:O21"/>
    <mergeCell ref="A22:O22"/>
    <mergeCell ref="A24:O24"/>
    <mergeCell ref="A23:C23"/>
    <mergeCell ref="A1:O1"/>
    <mergeCell ref="A2:A5"/>
    <mergeCell ref="B2:C4"/>
    <mergeCell ref="D2:O2"/>
    <mergeCell ref="D4:E4"/>
    <mergeCell ref="F4:G4"/>
    <mergeCell ref="H4:I4"/>
    <mergeCell ref="J4:K4"/>
    <mergeCell ref="L4:M4"/>
    <mergeCell ref="P2:Q2"/>
    <mergeCell ref="D3:G3"/>
    <mergeCell ref="H3:K3"/>
    <mergeCell ref="L3:O3"/>
    <mergeCell ref="P3:P5"/>
    <mergeCell ref="Q3:Q5"/>
    <mergeCell ref="N4:O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IV44"/>
  <sheetViews>
    <sheetView workbookViewId="0">
      <selection activeCell="F28" sqref="F28"/>
    </sheetView>
  </sheetViews>
  <sheetFormatPr defaultColWidth="8.85546875" defaultRowHeight="15"/>
  <cols>
    <col min="1" max="1" width="21.140625" style="21" bestFit="1" customWidth="1"/>
    <col min="2" max="2" width="12.85546875" style="21" bestFit="1" customWidth="1"/>
    <col min="3" max="3" width="17.28515625" style="21" bestFit="1" customWidth="1"/>
    <col min="4" max="4" width="12.140625" style="21" customWidth="1"/>
    <col min="5" max="5" width="12.85546875" style="21" customWidth="1"/>
    <col min="6" max="8" width="17.7109375" style="21" bestFit="1" customWidth="1"/>
    <col min="9" max="9" width="17.7109375" style="21" customWidth="1"/>
    <col min="10" max="10" width="10" style="21" bestFit="1" customWidth="1"/>
    <col min="11" max="12" width="8.85546875" style="21"/>
    <col min="13" max="13" width="16.42578125" style="21" customWidth="1"/>
    <col min="14" max="14" width="16" style="21" customWidth="1"/>
    <col min="15" max="15" width="17.140625" style="21" customWidth="1"/>
    <col min="16" max="16" width="15" style="21" customWidth="1"/>
    <col min="17" max="16384" width="8.85546875" style="21"/>
  </cols>
  <sheetData>
    <row r="1" spans="1:256">
      <c r="A1" s="394" t="s">
        <v>785</v>
      </c>
      <c r="B1" s="394"/>
      <c r="C1" s="394"/>
      <c r="D1" s="394"/>
      <c r="E1" s="394"/>
      <c r="F1" s="394"/>
      <c r="G1" s="394"/>
      <c r="H1" s="394"/>
      <c r="I1" s="394"/>
    </row>
    <row r="2" spans="1:256" s="22" customFormat="1">
      <c r="A2" s="562" t="s">
        <v>51</v>
      </c>
      <c r="B2" s="1411" t="s">
        <v>58</v>
      </c>
      <c r="C2" s="1412"/>
      <c r="D2" s="1412"/>
      <c r="E2" s="1413"/>
      <c r="F2" s="1411" t="s">
        <v>61</v>
      </c>
      <c r="G2" s="1412"/>
      <c r="H2" s="1412"/>
      <c r="I2" s="1414"/>
    </row>
    <row r="3" spans="1:256" s="22" customFormat="1" ht="30">
      <c r="A3" s="563" t="s">
        <v>786</v>
      </c>
      <c r="B3" s="398" t="s">
        <v>787</v>
      </c>
      <c r="C3" s="398" t="s">
        <v>788</v>
      </c>
      <c r="D3" s="398" t="s">
        <v>789</v>
      </c>
      <c r="E3" s="398" t="s">
        <v>53</v>
      </c>
      <c r="F3" s="398" t="s">
        <v>790</v>
      </c>
      <c r="G3" s="398" t="s">
        <v>788</v>
      </c>
      <c r="H3" s="398" t="s">
        <v>791</v>
      </c>
      <c r="I3" s="630" t="s">
        <v>53</v>
      </c>
    </row>
    <row r="4" spans="1:256" s="22" customFormat="1">
      <c r="A4" s="564" t="s">
        <v>792</v>
      </c>
      <c r="B4" s="631">
        <v>153232</v>
      </c>
      <c r="C4" s="631">
        <v>9393</v>
      </c>
      <c r="D4" s="631">
        <v>3923</v>
      </c>
      <c r="E4" s="417">
        <v>166548</v>
      </c>
      <c r="F4" s="631">
        <v>145404</v>
      </c>
      <c r="G4" s="631">
        <v>8409</v>
      </c>
      <c r="H4" s="631">
        <v>1983</v>
      </c>
      <c r="I4" s="410">
        <f>SUM(F4:H4)</f>
        <v>155796</v>
      </c>
      <c r="J4" s="565"/>
      <c r="K4" s="565"/>
    </row>
    <row r="5" spans="1:256" s="22" customFormat="1" ht="15.75" customHeight="1">
      <c r="A5" s="1415" t="s">
        <v>793</v>
      </c>
      <c r="B5" s="1416"/>
      <c r="C5" s="1416"/>
      <c r="D5" s="1416"/>
      <c r="E5" s="1416"/>
      <c r="F5" s="1416"/>
      <c r="G5" s="1416"/>
      <c r="H5" s="1416"/>
      <c r="I5" s="1417"/>
      <c r="J5" s="565"/>
      <c r="K5" s="565"/>
    </row>
    <row r="6" spans="1:256" s="22" customFormat="1">
      <c r="A6" s="564" t="s">
        <v>794</v>
      </c>
      <c r="B6" s="632">
        <v>93097.785480000006</v>
      </c>
      <c r="C6" s="632">
        <v>15930.471</v>
      </c>
      <c r="D6" s="410">
        <v>0</v>
      </c>
      <c r="E6" s="410">
        <v>109028.25648000001</v>
      </c>
      <c r="F6" s="632">
        <v>130527.0191</v>
      </c>
      <c r="G6" s="632">
        <v>20992.521000000001</v>
      </c>
      <c r="H6" s="410">
        <v>0</v>
      </c>
      <c r="I6" s="410">
        <f>SUM(F6:H6)</f>
        <v>151519.54010000001</v>
      </c>
      <c r="J6" s="565"/>
      <c r="K6" s="565"/>
      <c r="L6" s="37"/>
      <c r="M6" s="37"/>
      <c r="N6" s="37"/>
    </row>
    <row r="7" spans="1:256" s="22" customFormat="1">
      <c r="A7" s="564" t="s">
        <v>795</v>
      </c>
      <c r="B7" s="632">
        <v>523.35365779999995</v>
      </c>
      <c r="C7" s="632">
        <v>299.45800000000003</v>
      </c>
      <c r="D7" s="410">
        <v>0</v>
      </c>
      <c r="E7" s="410">
        <v>822.81165779999992</v>
      </c>
      <c r="F7" s="632">
        <v>398.43599999999998</v>
      </c>
      <c r="G7" s="632">
        <v>143.48400000000001</v>
      </c>
      <c r="H7" s="410">
        <v>0</v>
      </c>
      <c r="I7" s="410">
        <f t="shared" ref="I7:I12" si="0">SUM(F7:H7)</f>
        <v>541.91999999999996</v>
      </c>
      <c r="J7" s="565"/>
      <c r="K7" s="565"/>
      <c r="L7" s="37"/>
      <c r="M7" s="37"/>
      <c r="N7" s="37"/>
    </row>
    <row r="8" spans="1:256" s="22" customFormat="1">
      <c r="A8" s="564" t="s">
        <v>796</v>
      </c>
      <c r="B8" s="632">
        <v>1394363.4240000001</v>
      </c>
      <c r="C8" s="632">
        <v>81144.202000000005</v>
      </c>
      <c r="D8" s="410">
        <v>0</v>
      </c>
      <c r="E8" s="410">
        <v>1475507.6260000002</v>
      </c>
      <c r="F8" s="632">
        <v>1469555.22</v>
      </c>
      <c r="G8" s="632">
        <v>83816.851999999999</v>
      </c>
      <c r="H8" s="410">
        <v>0</v>
      </c>
      <c r="I8" s="410">
        <f t="shared" si="0"/>
        <v>1553372.0719999999</v>
      </c>
      <c r="J8" s="565"/>
      <c r="K8" s="565"/>
      <c r="L8" s="37"/>
      <c r="M8" s="37"/>
      <c r="N8" s="37"/>
    </row>
    <row r="9" spans="1:256" s="22" customFormat="1">
      <c r="A9" s="564" t="s">
        <v>797</v>
      </c>
      <c r="B9" s="632">
        <v>1306.4780000000001</v>
      </c>
      <c r="C9" s="632">
        <v>1232.2370000000001</v>
      </c>
      <c r="D9" s="410">
        <v>0</v>
      </c>
      <c r="E9" s="410">
        <v>2538.7150000000001</v>
      </c>
      <c r="F9" s="632">
        <v>1975.087</v>
      </c>
      <c r="G9" s="632">
        <v>1404.7829999999999</v>
      </c>
      <c r="H9" s="410">
        <v>0</v>
      </c>
      <c r="I9" s="410">
        <f t="shared" si="0"/>
        <v>3379.87</v>
      </c>
      <c r="J9" s="565"/>
      <c r="K9" s="565"/>
      <c r="L9" s="37"/>
      <c r="M9" s="37"/>
      <c r="N9" s="37"/>
    </row>
    <row r="10" spans="1:256" s="22" customFormat="1">
      <c r="A10" s="564" t="s">
        <v>798</v>
      </c>
      <c r="B10" s="632">
        <v>524.59100000000001</v>
      </c>
      <c r="C10" s="632">
        <v>0.43</v>
      </c>
      <c r="D10" s="410">
        <v>0</v>
      </c>
      <c r="E10" s="410">
        <v>525.02099999999996</v>
      </c>
      <c r="F10" s="632">
        <v>547.43399999999997</v>
      </c>
      <c r="G10" s="632">
        <v>7.0000000000000001E-3</v>
      </c>
      <c r="H10" s="410">
        <v>0</v>
      </c>
      <c r="I10" s="410">
        <f t="shared" si="0"/>
        <v>547.44099999999992</v>
      </c>
      <c r="J10" s="565"/>
      <c r="K10" s="565"/>
      <c r="L10" s="37"/>
      <c r="M10" s="37"/>
      <c r="N10" s="37"/>
    </row>
    <row r="11" spans="1:256" s="22" customFormat="1">
      <c r="A11" s="564" t="s">
        <v>29</v>
      </c>
      <c r="B11" s="632">
        <v>8777.8219989999998</v>
      </c>
      <c r="C11" s="632">
        <v>13628.040999999999</v>
      </c>
      <c r="D11" s="410">
        <v>0</v>
      </c>
      <c r="E11" s="410">
        <v>22405.862998999997</v>
      </c>
      <c r="F11" s="632">
        <v>14948.273999999999</v>
      </c>
      <c r="G11" s="632">
        <v>12145.105</v>
      </c>
      <c r="H11" s="410">
        <v>0</v>
      </c>
      <c r="I11" s="410">
        <f t="shared" si="0"/>
        <v>27093.379000000001</v>
      </c>
      <c r="J11" s="565"/>
      <c r="K11" s="565"/>
      <c r="L11" s="37"/>
      <c r="M11" s="37"/>
      <c r="N11" s="37"/>
    </row>
    <row r="12" spans="1:256" s="22" customFormat="1">
      <c r="A12" s="564" t="s">
        <v>150</v>
      </c>
      <c r="B12" s="632">
        <v>9125</v>
      </c>
      <c r="C12" s="632">
        <v>2967.2849999999999</v>
      </c>
      <c r="D12" s="410">
        <v>0</v>
      </c>
      <c r="E12" s="410">
        <v>12092.285</v>
      </c>
      <c r="F12" s="632">
        <v>7527.558</v>
      </c>
      <c r="G12" s="632">
        <v>2476.41</v>
      </c>
      <c r="H12" s="410">
        <v>0</v>
      </c>
      <c r="I12" s="410">
        <f t="shared" si="0"/>
        <v>10003.968000000001</v>
      </c>
      <c r="J12" s="565"/>
      <c r="K12" s="565"/>
      <c r="L12" s="37"/>
      <c r="M12" s="37"/>
      <c r="N12" s="37"/>
    </row>
    <row r="13" spans="1:256" s="22" customFormat="1">
      <c r="A13" s="566" t="s">
        <v>799</v>
      </c>
      <c r="B13" s="633">
        <v>1507718.4539999999</v>
      </c>
      <c r="C13" s="633">
        <v>115202.124</v>
      </c>
      <c r="D13" s="633">
        <v>191451</v>
      </c>
      <c r="E13" s="633">
        <v>1814371.578</v>
      </c>
      <c r="F13" s="633">
        <f>SUM(F6:F12)</f>
        <v>1625479.0280999998</v>
      </c>
      <c r="G13" s="633">
        <f t="shared" ref="G13" si="1">SUM(G6:G12)</f>
        <v>120979.162</v>
      </c>
      <c r="H13" s="633">
        <v>175452.641</v>
      </c>
      <c r="I13" s="633">
        <f>SUM(F13:H13)</f>
        <v>1921910.8310999998</v>
      </c>
      <c r="J13" s="565"/>
      <c r="K13" s="565"/>
      <c r="L13" s="37"/>
      <c r="M13" s="37"/>
      <c r="N13" s="37"/>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s="22" customFormat="1">
      <c r="A14" s="634" t="s">
        <v>36</v>
      </c>
      <c r="B14" s="567"/>
      <c r="C14" s="568"/>
      <c r="D14" s="569"/>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c r="CD14" s="570"/>
      <c r="CE14" s="570"/>
      <c r="CF14" s="570"/>
      <c r="CG14" s="570"/>
      <c r="CH14" s="570"/>
      <c r="CI14" s="570"/>
      <c r="CJ14" s="570"/>
      <c r="CK14" s="570"/>
      <c r="CL14" s="570"/>
      <c r="CM14" s="570"/>
      <c r="CN14" s="570"/>
      <c r="CO14" s="570"/>
      <c r="CP14" s="570"/>
      <c r="CQ14" s="570"/>
      <c r="CR14" s="570"/>
      <c r="CS14" s="570"/>
      <c r="CT14" s="570"/>
      <c r="CU14" s="570"/>
      <c r="CV14" s="570"/>
      <c r="CW14" s="570"/>
      <c r="CX14" s="570"/>
      <c r="CY14" s="570"/>
      <c r="CZ14" s="570"/>
      <c r="DA14" s="570"/>
      <c r="DB14" s="570"/>
      <c r="DC14" s="570"/>
      <c r="DD14" s="570"/>
      <c r="DE14" s="570"/>
      <c r="DF14" s="570"/>
      <c r="DG14" s="570"/>
      <c r="DH14" s="570"/>
      <c r="DI14" s="570"/>
      <c r="DJ14" s="570"/>
      <c r="DK14" s="570"/>
      <c r="DL14" s="570"/>
      <c r="DM14" s="570"/>
      <c r="DN14" s="570"/>
      <c r="DO14" s="570"/>
      <c r="DP14" s="570"/>
      <c r="DQ14" s="570"/>
      <c r="DR14" s="570"/>
      <c r="DS14" s="570"/>
      <c r="DT14" s="570"/>
      <c r="DU14" s="570"/>
      <c r="DV14" s="570"/>
      <c r="DW14" s="570"/>
      <c r="DX14" s="570"/>
      <c r="DY14" s="570"/>
      <c r="DZ14" s="570"/>
      <c r="EA14" s="570"/>
      <c r="EB14" s="570"/>
      <c r="EC14" s="570"/>
      <c r="ED14" s="570"/>
      <c r="EE14" s="570"/>
      <c r="EF14" s="570"/>
      <c r="EG14" s="570"/>
      <c r="EH14" s="570"/>
      <c r="EI14" s="570"/>
      <c r="EJ14" s="570"/>
      <c r="EK14" s="570"/>
      <c r="EL14" s="570"/>
      <c r="EM14" s="570"/>
      <c r="EN14" s="570"/>
      <c r="EO14" s="570"/>
      <c r="EP14" s="570"/>
      <c r="EQ14" s="570"/>
      <c r="ER14" s="570"/>
      <c r="ES14" s="570"/>
      <c r="ET14" s="570"/>
      <c r="EU14" s="570"/>
      <c r="EV14" s="570"/>
      <c r="EW14" s="570"/>
      <c r="EX14" s="570"/>
      <c r="EY14" s="570"/>
      <c r="EZ14" s="570"/>
      <c r="FA14" s="570"/>
      <c r="FB14" s="570"/>
      <c r="FC14" s="570"/>
      <c r="FD14" s="570"/>
      <c r="FE14" s="570"/>
      <c r="FF14" s="570"/>
      <c r="FG14" s="570"/>
      <c r="FH14" s="570"/>
      <c r="FI14" s="570"/>
      <c r="FJ14" s="570"/>
      <c r="FK14" s="570"/>
      <c r="FL14" s="570"/>
      <c r="FM14" s="570"/>
      <c r="FN14" s="570"/>
      <c r="FO14" s="570"/>
      <c r="FP14" s="570"/>
      <c r="FQ14" s="570"/>
      <c r="FR14" s="570"/>
      <c r="FS14" s="570"/>
      <c r="FT14" s="570"/>
      <c r="FU14" s="570"/>
      <c r="FV14" s="570"/>
      <c r="FW14" s="570"/>
      <c r="FX14" s="570"/>
      <c r="FY14" s="570"/>
      <c r="FZ14" s="570"/>
      <c r="GA14" s="570"/>
      <c r="GB14" s="570"/>
      <c r="GC14" s="570"/>
      <c r="GD14" s="570"/>
      <c r="GE14" s="570"/>
      <c r="GF14" s="570"/>
      <c r="GG14" s="570"/>
      <c r="GH14" s="570"/>
      <c r="GI14" s="570"/>
      <c r="GJ14" s="570"/>
      <c r="GK14" s="570"/>
      <c r="GL14" s="570"/>
      <c r="GM14" s="570"/>
      <c r="GN14" s="570"/>
      <c r="GO14" s="570"/>
      <c r="GP14" s="570"/>
      <c r="GQ14" s="570"/>
      <c r="GR14" s="570"/>
      <c r="GS14" s="570"/>
      <c r="GT14" s="570"/>
      <c r="GU14" s="570"/>
      <c r="GV14" s="570"/>
      <c r="GW14" s="570"/>
      <c r="GX14" s="570"/>
      <c r="GY14" s="570"/>
      <c r="GZ14" s="570"/>
      <c r="HA14" s="570"/>
      <c r="HB14" s="570"/>
      <c r="HC14" s="570"/>
      <c r="HD14" s="570"/>
      <c r="HE14" s="570"/>
      <c r="HF14" s="570"/>
      <c r="HG14" s="570"/>
      <c r="HH14" s="570"/>
      <c r="HI14" s="570"/>
      <c r="HJ14" s="570"/>
      <c r="HK14" s="570"/>
      <c r="HL14" s="570"/>
      <c r="HM14" s="570"/>
      <c r="HN14" s="570"/>
      <c r="HO14" s="570"/>
      <c r="HP14" s="570"/>
      <c r="HQ14" s="570"/>
      <c r="HR14" s="570"/>
      <c r="HS14" s="570"/>
      <c r="HT14" s="570"/>
      <c r="HU14" s="570"/>
      <c r="HV14" s="570"/>
      <c r="HW14" s="570"/>
      <c r="HX14" s="570"/>
      <c r="HY14" s="570"/>
      <c r="HZ14" s="570"/>
      <c r="IA14" s="570"/>
      <c r="IB14" s="570"/>
      <c r="IC14" s="570"/>
      <c r="ID14" s="570"/>
      <c r="IE14" s="570"/>
      <c r="IF14" s="570"/>
      <c r="IG14" s="570"/>
      <c r="IH14" s="570"/>
      <c r="II14" s="570"/>
      <c r="IJ14" s="570"/>
      <c r="IK14" s="570"/>
      <c r="IL14" s="570"/>
      <c r="IM14" s="570"/>
      <c r="IN14" s="570"/>
      <c r="IO14" s="570"/>
      <c r="IP14" s="570"/>
      <c r="IQ14" s="570"/>
      <c r="IR14" s="570"/>
      <c r="IS14" s="570"/>
      <c r="IT14" s="570"/>
      <c r="IU14" s="570"/>
      <c r="IV14" s="570"/>
    </row>
    <row r="15" spans="1:256" s="22" customFormat="1" ht="13.5" customHeight="1">
      <c r="A15" s="635" t="s">
        <v>800</v>
      </c>
      <c r="B15" s="571"/>
      <c r="C15" s="571"/>
      <c r="D15" s="571"/>
      <c r="E15" s="570"/>
      <c r="F15" s="570"/>
      <c r="G15" s="570"/>
      <c r="H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570"/>
      <c r="CJ15" s="570"/>
      <c r="CK15" s="570"/>
      <c r="CL15" s="570"/>
      <c r="CM15" s="570"/>
      <c r="CN15" s="570"/>
      <c r="CO15" s="570"/>
      <c r="CP15" s="570"/>
      <c r="CQ15" s="570"/>
      <c r="CR15" s="570"/>
      <c r="CS15" s="570"/>
      <c r="CT15" s="570"/>
      <c r="CU15" s="570"/>
      <c r="CV15" s="570"/>
      <c r="CW15" s="570"/>
      <c r="CX15" s="570"/>
      <c r="CY15" s="570"/>
      <c r="CZ15" s="570"/>
      <c r="DA15" s="570"/>
      <c r="DB15" s="570"/>
      <c r="DC15" s="570"/>
      <c r="DD15" s="570"/>
      <c r="DE15" s="570"/>
      <c r="DF15" s="570"/>
      <c r="DG15" s="570"/>
      <c r="DH15" s="570"/>
      <c r="DI15" s="570"/>
      <c r="DJ15" s="570"/>
      <c r="DK15" s="570"/>
      <c r="DL15" s="570"/>
      <c r="DM15" s="570"/>
      <c r="DN15" s="570"/>
      <c r="DO15" s="570"/>
      <c r="DP15" s="570"/>
      <c r="DQ15" s="570"/>
      <c r="DR15" s="570"/>
      <c r="DS15" s="570"/>
      <c r="DT15" s="570"/>
      <c r="DU15" s="570"/>
      <c r="DV15" s="570"/>
      <c r="DW15" s="570"/>
      <c r="DX15" s="570"/>
      <c r="DY15" s="570"/>
      <c r="DZ15" s="570"/>
      <c r="EA15" s="570"/>
      <c r="EB15" s="570"/>
      <c r="EC15" s="570"/>
      <c r="ED15" s="570"/>
      <c r="EE15" s="570"/>
      <c r="EF15" s="570"/>
      <c r="EG15" s="570"/>
      <c r="EH15" s="570"/>
      <c r="EI15" s="570"/>
      <c r="EJ15" s="570"/>
      <c r="EK15" s="570"/>
      <c r="EL15" s="570"/>
      <c r="EM15" s="570"/>
      <c r="EN15" s="570"/>
      <c r="EO15" s="570"/>
      <c r="EP15" s="570"/>
      <c r="EQ15" s="570"/>
      <c r="ER15" s="570"/>
      <c r="ES15" s="570"/>
      <c r="ET15" s="570"/>
      <c r="EU15" s="570"/>
      <c r="EV15" s="570"/>
      <c r="EW15" s="570"/>
      <c r="EX15" s="570"/>
      <c r="EY15" s="570"/>
      <c r="EZ15" s="570"/>
      <c r="FA15" s="570"/>
      <c r="FB15" s="570"/>
      <c r="FC15" s="570"/>
      <c r="FD15" s="570"/>
      <c r="FE15" s="570"/>
      <c r="FF15" s="570"/>
      <c r="FG15" s="570"/>
      <c r="FH15" s="570"/>
      <c r="FI15" s="570"/>
      <c r="FJ15" s="570"/>
      <c r="FK15" s="570"/>
      <c r="FL15" s="570"/>
      <c r="FM15" s="570"/>
      <c r="FN15" s="570"/>
      <c r="FO15" s="570"/>
      <c r="FP15" s="570"/>
      <c r="FQ15" s="570"/>
      <c r="FR15" s="570"/>
      <c r="FS15" s="570"/>
      <c r="FT15" s="570"/>
      <c r="FU15" s="570"/>
      <c r="FV15" s="570"/>
      <c r="FW15" s="570"/>
      <c r="FX15" s="570"/>
      <c r="FY15" s="570"/>
      <c r="FZ15" s="570"/>
      <c r="GA15" s="570"/>
      <c r="GB15" s="570"/>
      <c r="GC15" s="570"/>
      <c r="GD15" s="570"/>
      <c r="GE15" s="570"/>
      <c r="GF15" s="570"/>
      <c r="GG15" s="570"/>
      <c r="GH15" s="570"/>
      <c r="GI15" s="570"/>
      <c r="GJ15" s="570"/>
      <c r="GK15" s="570"/>
      <c r="GL15" s="570"/>
      <c r="GM15" s="570"/>
      <c r="GN15" s="570"/>
      <c r="GO15" s="570"/>
      <c r="GP15" s="570"/>
      <c r="GQ15" s="570"/>
      <c r="GR15" s="570"/>
      <c r="GS15" s="570"/>
      <c r="GT15" s="570"/>
      <c r="GU15" s="570"/>
      <c r="GV15" s="570"/>
      <c r="GW15" s="570"/>
      <c r="GX15" s="570"/>
      <c r="GY15" s="570"/>
      <c r="GZ15" s="570"/>
      <c r="HA15" s="570"/>
      <c r="HB15" s="570"/>
      <c r="HC15" s="570"/>
      <c r="HD15" s="570"/>
      <c r="HE15" s="570"/>
      <c r="HF15" s="570"/>
      <c r="HG15" s="570"/>
      <c r="HH15" s="570"/>
      <c r="HI15" s="570"/>
      <c r="HJ15" s="570"/>
      <c r="HK15" s="570"/>
      <c r="HL15" s="570"/>
      <c r="HM15" s="570"/>
      <c r="HN15" s="570"/>
      <c r="HO15" s="570"/>
      <c r="HP15" s="570"/>
      <c r="HQ15" s="570"/>
      <c r="HR15" s="570"/>
      <c r="HS15" s="570"/>
      <c r="HT15" s="570"/>
      <c r="HU15" s="570"/>
      <c r="HV15" s="570"/>
      <c r="HW15" s="570"/>
      <c r="HX15" s="570"/>
      <c r="HY15" s="570"/>
      <c r="HZ15" s="570"/>
      <c r="IA15" s="570"/>
      <c r="IB15" s="570"/>
      <c r="IC15" s="570"/>
      <c r="ID15" s="570"/>
      <c r="IE15" s="570"/>
      <c r="IF15" s="570"/>
      <c r="IG15" s="570"/>
      <c r="IH15" s="570"/>
      <c r="II15" s="570"/>
      <c r="IJ15" s="570"/>
      <c r="IK15" s="570"/>
      <c r="IL15" s="570"/>
      <c r="IM15" s="570"/>
      <c r="IN15" s="570"/>
      <c r="IO15" s="570"/>
      <c r="IP15" s="570"/>
      <c r="IQ15" s="570"/>
      <c r="IR15" s="570"/>
      <c r="IS15" s="570"/>
      <c r="IT15" s="570"/>
      <c r="IU15" s="570"/>
      <c r="IV15" s="570"/>
    </row>
    <row r="16" spans="1:256">
      <c r="A16" s="572" t="s">
        <v>1088</v>
      </c>
    </row>
    <row r="17" spans="1:256" s="22" customFormat="1" ht="13.5" customHeight="1">
      <c r="A17" s="572" t="s">
        <v>1089</v>
      </c>
      <c r="B17" s="572"/>
      <c r="C17" s="572"/>
      <c r="D17" s="572"/>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570"/>
      <c r="CJ17" s="570"/>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c r="DN17" s="570"/>
      <c r="DO17" s="570"/>
      <c r="DP17" s="570"/>
      <c r="DQ17" s="570"/>
      <c r="DR17" s="570"/>
      <c r="DS17" s="570"/>
      <c r="DT17" s="570"/>
      <c r="DU17" s="570"/>
      <c r="DV17" s="570"/>
      <c r="DW17" s="570"/>
      <c r="DX17" s="570"/>
      <c r="DY17" s="570"/>
      <c r="DZ17" s="570"/>
      <c r="EA17" s="570"/>
      <c r="EB17" s="570"/>
      <c r="EC17" s="570"/>
      <c r="ED17" s="570"/>
      <c r="EE17" s="570"/>
      <c r="EF17" s="570"/>
      <c r="EG17" s="570"/>
      <c r="EH17" s="570"/>
      <c r="EI17" s="570"/>
      <c r="EJ17" s="570"/>
      <c r="EK17" s="570"/>
      <c r="EL17" s="570"/>
      <c r="EM17" s="570"/>
      <c r="EN17" s="570"/>
      <c r="EO17" s="570"/>
      <c r="EP17" s="570"/>
      <c r="EQ17" s="570"/>
      <c r="ER17" s="570"/>
      <c r="ES17" s="570"/>
      <c r="ET17" s="570"/>
      <c r="EU17" s="570"/>
      <c r="EV17" s="570"/>
      <c r="EW17" s="570"/>
      <c r="EX17" s="570"/>
      <c r="EY17" s="570"/>
      <c r="EZ17" s="570"/>
      <c r="FA17" s="570"/>
      <c r="FB17" s="570"/>
      <c r="FC17" s="570"/>
      <c r="FD17" s="570"/>
      <c r="FE17" s="570"/>
      <c r="FF17" s="570"/>
      <c r="FG17" s="570"/>
      <c r="FH17" s="570"/>
      <c r="FI17" s="570"/>
      <c r="FJ17" s="570"/>
      <c r="FK17" s="570"/>
      <c r="FL17" s="570"/>
      <c r="FM17" s="570"/>
      <c r="FN17" s="570"/>
      <c r="FO17" s="570"/>
      <c r="FP17" s="570"/>
      <c r="FQ17" s="570"/>
      <c r="FR17" s="570"/>
      <c r="FS17" s="570"/>
      <c r="FT17" s="570"/>
      <c r="FU17" s="570"/>
      <c r="FV17" s="570"/>
      <c r="FW17" s="570"/>
      <c r="FX17" s="570"/>
      <c r="FY17" s="570"/>
      <c r="FZ17" s="570"/>
      <c r="GA17" s="570"/>
      <c r="GB17" s="570"/>
      <c r="GC17" s="570"/>
      <c r="GD17" s="570"/>
      <c r="GE17" s="570"/>
      <c r="GF17" s="570"/>
      <c r="GG17" s="570"/>
      <c r="GH17" s="570"/>
      <c r="GI17" s="570"/>
      <c r="GJ17" s="570"/>
      <c r="GK17" s="570"/>
      <c r="GL17" s="570"/>
      <c r="GM17" s="570"/>
      <c r="GN17" s="570"/>
      <c r="GO17" s="570"/>
      <c r="GP17" s="570"/>
      <c r="GQ17" s="570"/>
      <c r="GR17" s="570"/>
      <c r="GS17" s="570"/>
      <c r="GT17" s="570"/>
      <c r="GU17" s="570"/>
      <c r="GV17" s="570"/>
      <c r="GW17" s="570"/>
      <c r="GX17" s="570"/>
      <c r="GY17" s="570"/>
      <c r="GZ17" s="570"/>
      <c r="HA17" s="570"/>
      <c r="HB17" s="570"/>
      <c r="HC17" s="570"/>
      <c r="HD17" s="570"/>
      <c r="HE17" s="570"/>
      <c r="HF17" s="570"/>
      <c r="HG17" s="570"/>
      <c r="HH17" s="570"/>
      <c r="HI17" s="570"/>
      <c r="HJ17" s="570"/>
      <c r="HK17" s="570"/>
      <c r="HL17" s="570"/>
      <c r="HM17" s="570"/>
      <c r="HN17" s="570"/>
      <c r="HO17" s="570"/>
      <c r="HP17" s="570"/>
      <c r="HQ17" s="570"/>
      <c r="HR17" s="570"/>
      <c r="HS17" s="570"/>
      <c r="HT17" s="570"/>
      <c r="HU17" s="570"/>
      <c r="HV17" s="570"/>
      <c r="HW17" s="570"/>
      <c r="HX17" s="570"/>
      <c r="HY17" s="570"/>
      <c r="HZ17" s="570"/>
      <c r="IA17" s="570"/>
      <c r="IB17" s="570"/>
      <c r="IC17" s="570"/>
      <c r="ID17" s="570"/>
      <c r="IE17" s="570"/>
      <c r="IF17" s="570"/>
      <c r="IG17" s="570"/>
      <c r="IH17" s="570"/>
      <c r="II17" s="570"/>
      <c r="IJ17" s="570"/>
      <c r="IK17" s="570"/>
      <c r="IL17" s="570"/>
      <c r="IM17" s="570"/>
      <c r="IN17" s="570"/>
      <c r="IO17" s="570"/>
      <c r="IP17" s="570"/>
      <c r="IQ17" s="570"/>
      <c r="IR17" s="570"/>
      <c r="IS17" s="570"/>
      <c r="IT17" s="570"/>
      <c r="IU17" s="570"/>
      <c r="IV17" s="570"/>
    </row>
    <row r="18" spans="1:256" s="22" customFormat="1">
      <c r="A18" s="635" t="s">
        <v>801</v>
      </c>
      <c r="B18" s="572"/>
      <c r="C18" s="572"/>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570"/>
      <c r="BT18" s="570"/>
      <c r="BU18" s="570"/>
      <c r="BV18" s="570"/>
      <c r="BW18" s="570"/>
      <c r="BX18" s="570"/>
      <c r="BY18" s="570"/>
      <c r="BZ18" s="570"/>
      <c r="CA18" s="570"/>
      <c r="CB18" s="570"/>
      <c r="CC18" s="570"/>
      <c r="CD18" s="570"/>
      <c r="CE18" s="570"/>
      <c r="CF18" s="570"/>
      <c r="CG18" s="570"/>
      <c r="CH18" s="570"/>
      <c r="CI18" s="570"/>
      <c r="CJ18" s="570"/>
      <c r="CK18" s="570"/>
      <c r="CL18" s="570"/>
      <c r="CM18" s="570"/>
      <c r="CN18" s="570"/>
      <c r="CO18" s="570"/>
      <c r="CP18" s="570"/>
      <c r="CQ18" s="570"/>
      <c r="CR18" s="570"/>
      <c r="CS18" s="570"/>
      <c r="CT18" s="570"/>
      <c r="CU18" s="570"/>
      <c r="CV18" s="570"/>
      <c r="CW18" s="570"/>
      <c r="CX18" s="570"/>
      <c r="CY18" s="570"/>
      <c r="CZ18" s="570"/>
      <c r="DA18" s="570"/>
      <c r="DB18" s="570"/>
      <c r="DC18" s="570"/>
      <c r="DD18" s="570"/>
      <c r="DE18" s="570"/>
      <c r="DF18" s="570"/>
      <c r="DG18" s="570"/>
      <c r="DH18" s="570"/>
      <c r="DI18" s="570"/>
      <c r="DJ18" s="570"/>
      <c r="DK18" s="570"/>
      <c r="DL18" s="570"/>
      <c r="DM18" s="570"/>
      <c r="DN18" s="570"/>
      <c r="DO18" s="570"/>
      <c r="DP18" s="570"/>
      <c r="DQ18" s="570"/>
      <c r="DR18" s="570"/>
      <c r="DS18" s="570"/>
      <c r="DT18" s="570"/>
      <c r="DU18" s="570"/>
      <c r="DV18" s="570"/>
      <c r="DW18" s="570"/>
      <c r="DX18" s="570"/>
      <c r="DY18" s="570"/>
      <c r="DZ18" s="570"/>
      <c r="EA18" s="570"/>
      <c r="EB18" s="570"/>
      <c r="EC18" s="570"/>
      <c r="ED18" s="570"/>
      <c r="EE18" s="570"/>
      <c r="EF18" s="570"/>
      <c r="EG18" s="570"/>
      <c r="EH18" s="570"/>
      <c r="EI18" s="570"/>
      <c r="EJ18" s="570"/>
      <c r="EK18" s="570"/>
      <c r="EL18" s="570"/>
      <c r="EM18" s="570"/>
      <c r="EN18" s="570"/>
      <c r="EO18" s="570"/>
      <c r="EP18" s="570"/>
      <c r="EQ18" s="570"/>
      <c r="ER18" s="570"/>
      <c r="ES18" s="570"/>
      <c r="ET18" s="570"/>
      <c r="EU18" s="570"/>
      <c r="EV18" s="570"/>
      <c r="EW18" s="570"/>
      <c r="EX18" s="570"/>
      <c r="EY18" s="570"/>
      <c r="EZ18" s="570"/>
      <c r="FA18" s="570"/>
      <c r="FB18" s="570"/>
      <c r="FC18" s="570"/>
      <c r="FD18" s="570"/>
      <c r="FE18" s="570"/>
      <c r="FF18" s="570"/>
      <c r="FG18" s="570"/>
      <c r="FH18" s="570"/>
      <c r="FI18" s="570"/>
      <c r="FJ18" s="570"/>
      <c r="FK18" s="570"/>
      <c r="FL18" s="570"/>
      <c r="FM18" s="570"/>
      <c r="FN18" s="570"/>
      <c r="FO18" s="570"/>
      <c r="FP18" s="570"/>
      <c r="FQ18" s="570"/>
      <c r="FR18" s="570"/>
      <c r="FS18" s="570"/>
      <c r="FT18" s="570"/>
      <c r="FU18" s="570"/>
      <c r="FV18" s="570"/>
      <c r="FW18" s="570"/>
      <c r="FX18" s="570"/>
      <c r="FY18" s="570"/>
      <c r="FZ18" s="570"/>
      <c r="GA18" s="570"/>
      <c r="GB18" s="570"/>
      <c r="GC18" s="570"/>
      <c r="GD18" s="570"/>
      <c r="GE18" s="570"/>
      <c r="GF18" s="570"/>
      <c r="GG18" s="570"/>
      <c r="GH18" s="570"/>
      <c r="GI18" s="570"/>
      <c r="GJ18" s="570"/>
      <c r="GK18" s="570"/>
      <c r="GL18" s="570"/>
      <c r="GM18" s="570"/>
      <c r="GN18" s="570"/>
      <c r="GO18" s="570"/>
      <c r="GP18" s="570"/>
      <c r="GQ18" s="570"/>
      <c r="GR18" s="570"/>
      <c r="GS18" s="570"/>
      <c r="GT18" s="570"/>
      <c r="GU18" s="570"/>
      <c r="GV18" s="570"/>
      <c r="GW18" s="570"/>
      <c r="GX18" s="570"/>
      <c r="GY18" s="570"/>
      <c r="GZ18" s="570"/>
      <c r="HA18" s="570"/>
      <c r="HB18" s="570"/>
      <c r="HC18" s="570"/>
      <c r="HD18" s="570"/>
      <c r="HE18" s="570"/>
      <c r="HF18" s="570"/>
      <c r="HG18" s="570"/>
      <c r="HH18" s="570"/>
      <c r="HI18" s="570"/>
      <c r="HJ18" s="570"/>
      <c r="HK18" s="570"/>
      <c r="HL18" s="570"/>
      <c r="HM18" s="570"/>
      <c r="HN18" s="570"/>
      <c r="HO18" s="570"/>
      <c r="HP18" s="570"/>
      <c r="HQ18" s="570"/>
      <c r="HR18" s="570"/>
      <c r="HS18" s="570"/>
      <c r="HT18" s="570"/>
      <c r="HU18" s="570"/>
      <c r="HV18" s="570"/>
      <c r="HW18" s="570"/>
      <c r="HX18" s="570"/>
      <c r="HY18" s="570"/>
      <c r="HZ18" s="570"/>
      <c r="IA18" s="570"/>
      <c r="IB18" s="570"/>
      <c r="IC18" s="570"/>
      <c r="ID18" s="570"/>
      <c r="IE18" s="570"/>
      <c r="IF18" s="570"/>
      <c r="IG18" s="570"/>
      <c r="IH18" s="570"/>
      <c r="II18" s="570"/>
      <c r="IJ18" s="570"/>
      <c r="IK18" s="570"/>
      <c r="IL18" s="570"/>
      <c r="IM18" s="570"/>
      <c r="IN18" s="570"/>
      <c r="IO18" s="570"/>
      <c r="IP18" s="570"/>
      <c r="IQ18" s="570"/>
      <c r="IR18" s="570"/>
      <c r="IS18" s="570"/>
      <c r="IT18" s="570"/>
      <c r="IU18" s="570"/>
      <c r="IV18" s="570"/>
    </row>
    <row r="19" spans="1:256">
      <c r="A19" s="360" t="s">
        <v>1090</v>
      </c>
      <c r="B19" s="389"/>
      <c r="C19" s="389"/>
      <c r="D19" s="389"/>
      <c r="E19" s="389"/>
      <c r="F19" s="389"/>
      <c r="G19" s="389"/>
      <c r="L19" s="573"/>
      <c r="M19" s="574"/>
      <c r="N19" s="574"/>
      <c r="O19" s="575"/>
    </row>
    <row r="20" spans="1:256">
      <c r="A20" s="392" t="s">
        <v>43</v>
      </c>
      <c r="B20" s="391"/>
      <c r="C20" s="391"/>
      <c r="D20" s="391"/>
      <c r="E20" s="391"/>
      <c r="F20" s="391"/>
      <c r="H20" s="391"/>
      <c r="I20" s="391"/>
      <c r="L20" s="576"/>
      <c r="M20" s="365"/>
      <c r="N20" s="365"/>
      <c r="O20" s="365"/>
    </row>
    <row r="21" spans="1:256">
      <c r="B21" s="496"/>
      <c r="C21" s="496"/>
      <c r="D21" s="496"/>
      <c r="E21" s="496"/>
      <c r="F21" s="496"/>
      <c r="G21" s="496"/>
      <c r="H21" s="496"/>
      <c r="I21" s="496"/>
      <c r="L21" s="577"/>
      <c r="M21" s="366"/>
      <c r="N21" s="366"/>
      <c r="O21" s="367"/>
    </row>
    <row r="25" spans="1:256" ht="15" customHeight="1"/>
    <row r="26" spans="1:256" ht="15" customHeight="1"/>
    <row r="39" spans="1:9" ht="15.75">
      <c r="A39" s="578"/>
      <c r="B39" s="579"/>
      <c r="C39" s="579"/>
      <c r="D39" s="579"/>
      <c r="F39" s="636"/>
      <c r="G39" s="636"/>
      <c r="H39" s="636"/>
      <c r="I39" s="636"/>
    </row>
    <row r="40" spans="1:9">
      <c r="A40" s="580"/>
      <c r="B40" s="581"/>
      <c r="C40" s="582"/>
      <c r="D40" s="583"/>
      <c r="F40" s="580"/>
      <c r="G40" s="581"/>
      <c r="H40" s="582"/>
      <c r="I40" s="583"/>
    </row>
    <row r="41" spans="1:9" ht="15.75">
      <c r="A41" s="1410"/>
      <c r="B41" s="1410"/>
      <c r="C41" s="1410"/>
      <c r="D41" s="1410"/>
      <c r="F41" s="584"/>
      <c r="G41" s="585"/>
      <c r="H41" s="585"/>
      <c r="I41" s="585"/>
    </row>
    <row r="42" spans="1:9" ht="15.75">
      <c r="A42" s="586"/>
      <c r="B42" s="587"/>
      <c r="C42" s="1418"/>
      <c r="D42" s="1418"/>
      <c r="F42" s="637"/>
      <c r="G42" s="638"/>
      <c r="H42" s="638"/>
      <c r="I42" s="638"/>
    </row>
    <row r="43" spans="1:9">
      <c r="A43" s="1410"/>
      <c r="B43" s="1410"/>
      <c r="C43" s="1410"/>
      <c r="D43" s="1410"/>
      <c r="F43" s="639"/>
      <c r="G43" s="638"/>
      <c r="H43" s="638"/>
      <c r="I43" s="636"/>
    </row>
    <row r="44" spans="1:9" ht="15.75">
      <c r="F44" s="637"/>
      <c r="G44" s="638"/>
      <c r="H44" s="638"/>
      <c r="I44" s="638"/>
    </row>
  </sheetData>
  <mergeCells count="6">
    <mergeCell ref="A43:D43"/>
    <mergeCell ref="B2:E2"/>
    <mergeCell ref="F2:I2"/>
    <mergeCell ref="A5:I5"/>
    <mergeCell ref="A41:D41"/>
    <mergeCell ref="C42:D4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Y49"/>
  <sheetViews>
    <sheetView tabSelected="1" zoomScale="77" zoomScaleNormal="77" workbookViewId="0">
      <selection sqref="A1:XFD1048576"/>
    </sheetView>
  </sheetViews>
  <sheetFormatPr defaultColWidth="8.85546875" defaultRowHeight="15"/>
  <cols>
    <col min="1" max="1" width="90.140625" style="21" bestFit="1" customWidth="1"/>
    <col min="2" max="2" width="8.42578125" style="21" bestFit="1" customWidth="1"/>
    <col min="3" max="12" width="12.42578125" style="21" customWidth="1"/>
    <col min="13" max="13" width="7.42578125" style="21" bestFit="1" customWidth="1"/>
    <col min="14" max="254" width="8.85546875" style="21"/>
    <col min="255" max="255" width="80.85546875" style="21" bestFit="1" customWidth="1"/>
    <col min="256" max="256" width="8.42578125" style="21" bestFit="1" customWidth="1"/>
    <col min="257" max="257" width="12.85546875" style="21" bestFit="1" customWidth="1"/>
    <col min="258" max="258" width="13.140625" style="21" bestFit="1" customWidth="1"/>
    <col min="259" max="261" width="12.28515625" style="21" bestFit="1" customWidth="1"/>
    <col min="262" max="262" width="10.140625" style="21" bestFit="1" customWidth="1"/>
    <col min="263" max="263" width="11" style="21" bestFit="1" customWidth="1"/>
    <col min="264" max="265" width="12.28515625" style="21" bestFit="1" customWidth="1"/>
    <col min="266" max="266" width="10" style="21" bestFit="1" customWidth="1"/>
    <col min="267" max="267" width="1.42578125" style="21" bestFit="1" customWidth="1"/>
    <col min="268" max="268" width="0.28515625" style="21" bestFit="1" customWidth="1"/>
    <col min="269" max="269" width="4.7109375" style="21" bestFit="1" customWidth="1"/>
    <col min="270" max="510" width="8.85546875" style="21"/>
    <col min="511" max="511" width="80.85546875" style="21" bestFit="1" customWidth="1"/>
    <col min="512" max="512" width="8.42578125" style="21" bestFit="1" customWidth="1"/>
    <col min="513" max="513" width="12.85546875" style="21" bestFit="1" customWidth="1"/>
    <col min="514" max="514" width="13.140625" style="21" bestFit="1" customWidth="1"/>
    <col min="515" max="517" width="12.28515625" style="21" bestFit="1" customWidth="1"/>
    <col min="518" max="518" width="10.140625" style="21" bestFit="1" customWidth="1"/>
    <col min="519" max="519" width="11" style="21" bestFit="1" customWidth="1"/>
    <col min="520" max="521" width="12.28515625" style="21" bestFit="1" customWidth="1"/>
    <col min="522" max="522" width="10" style="21" bestFit="1" customWidth="1"/>
    <col min="523" max="523" width="1.42578125" style="21" bestFit="1" customWidth="1"/>
    <col min="524" max="524" width="0.28515625" style="21" bestFit="1" customWidth="1"/>
    <col min="525" max="525" width="4.7109375" style="21" bestFit="1" customWidth="1"/>
    <col min="526" max="766" width="8.85546875" style="21"/>
    <col min="767" max="767" width="80.85546875" style="21" bestFit="1" customWidth="1"/>
    <col min="768" max="768" width="8.42578125" style="21" bestFit="1" customWidth="1"/>
    <col min="769" max="769" width="12.85546875" style="21" bestFit="1" customWidth="1"/>
    <col min="770" max="770" width="13.140625" style="21" bestFit="1" customWidth="1"/>
    <col min="771" max="773" width="12.28515625" style="21" bestFit="1" customWidth="1"/>
    <col min="774" max="774" width="10.140625" style="21" bestFit="1" customWidth="1"/>
    <col min="775" max="775" width="11" style="21" bestFit="1" customWidth="1"/>
    <col min="776" max="777" width="12.28515625" style="21" bestFit="1" customWidth="1"/>
    <col min="778" max="778" width="10" style="21" bestFit="1" customWidth="1"/>
    <col min="779" max="779" width="1.42578125" style="21" bestFit="1" customWidth="1"/>
    <col min="780" max="780" width="0.28515625" style="21" bestFit="1" customWidth="1"/>
    <col min="781" max="781" width="4.7109375" style="21" bestFit="1" customWidth="1"/>
    <col min="782" max="1022" width="8.85546875" style="21"/>
    <col min="1023" max="1023" width="80.85546875" style="21" bestFit="1" customWidth="1"/>
    <col min="1024" max="1024" width="8.42578125" style="21" bestFit="1" customWidth="1"/>
    <col min="1025" max="1025" width="12.85546875" style="21" bestFit="1" customWidth="1"/>
    <col min="1026" max="1026" width="13.140625" style="21" bestFit="1" customWidth="1"/>
    <col min="1027" max="1029" width="12.28515625" style="21" bestFit="1" customWidth="1"/>
    <col min="1030" max="1030" width="10.140625" style="21" bestFit="1" customWidth="1"/>
    <col min="1031" max="1031" width="11" style="21" bestFit="1" customWidth="1"/>
    <col min="1032" max="1033" width="12.28515625" style="21" bestFit="1" customWidth="1"/>
    <col min="1034" max="1034" width="10" style="21" bestFit="1" customWidth="1"/>
    <col min="1035" max="1035" width="1.42578125" style="21" bestFit="1" customWidth="1"/>
    <col min="1036" max="1036" width="0.28515625" style="21" bestFit="1" customWidth="1"/>
    <col min="1037" max="1037" width="4.7109375" style="21" bestFit="1" customWidth="1"/>
    <col min="1038" max="1278" width="8.85546875" style="21"/>
    <col min="1279" max="1279" width="80.85546875" style="21" bestFit="1" customWidth="1"/>
    <col min="1280" max="1280" width="8.42578125" style="21" bestFit="1" customWidth="1"/>
    <col min="1281" max="1281" width="12.85546875" style="21" bestFit="1" customWidth="1"/>
    <col min="1282" max="1282" width="13.140625" style="21" bestFit="1" customWidth="1"/>
    <col min="1283" max="1285" width="12.28515625" style="21" bestFit="1" customWidth="1"/>
    <col min="1286" max="1286" width="10.140625" style="21" bestFit="1" customWidth="1"/>
    <col min="1287" max="1287" width="11" style="21" bestFit="1" customWidth="1"/>
    <col min="1288" max="1289" width="12.28515625" style="21" bestFit="1" customWidth="1"/>
    <col min="1290" max="1290" width="10" style="21" bestFit="1" customWidth="1"/>
    <col min="1291" max="1291" width="1.42578125" style="21" bestFit="1" customWidth="1"/>
    <col min="1292" max="1292" width="0.28515625" style="21" bestFit="1" customWidth="1"/>
    <col min="1293" max="1293" width="4.7109375" style="21" bestFit="1" customWidth="1"/>
    <col min="1294" max="1534" width="8.85546875" style="21"/>
    <col min="1535" max="1535" width="80.85546875" style="21" bestFit="1" customWidth="1"/>
    <col min="1536" max="1536" width="8.42578125" style="21" bestFit="1" customWidth="1"/>
    <col min="1537" max="1537" width="12.85546875" style="21" bestFit="1" customWidth="1"/>
    <col min="1538" max="1538" width="13.140625" style="21" bestFit="1" customWidth="1"/>
    <col min="1539" max="1541" width="12.28515625" style="21" bestFit="1" customWidth="1"/>
    <col min="1542" max="1542" width="10.140625" style="21" bestFit="1" customWidth="1"/>
    <col min="1543" max="1543" width="11" style="21" bestFit="1" customWidth="1"/>
    <col min="1544" max="1545" width="12.28515625" style="21" bestFit="1" customWidth="1"/>
    <col min="1546" max="1546" width="10" style="21" bestFit="1" customWidth="1"/>
    <col min="1547" max="1547" width="1.42578125" style="21" bestFit="1" customWidth="1"/>
    <col min="1548" max="1548" width="0.28515625" style="21" bestFit="1" customWidth="1"/>
    <col min="1549" max="1549" width="4.7109375" style="21" bestFit="1" customWidth="1"/>
    <col min="1550" max="1790" width="8.85546875" style="21"/>
    <col min="1791" max="1791" width="80.85546875" style="21" bestFit="1" customWidth="1"/>
    <col min="1792" max="1792" width="8.42578125" style="21" bestFit="1" customWidth="1"/>
    <col min="1793" max="1793" width="12.85546875" style="21" bestFit="1" customWidth="1"/>
    <col min="1794" max="1794" width="13.140625" style="21" bestFit="1" customWidth="1"/>
    <col min="1795" max="1797" width="12.28515625" style="21" bestFit="1" customWidth="1"/>
    <col min="1798" max="1798" width="10.140625" style="21" bestFit="1" customWidth="1"/>
    <col min="1799" max="1799" width="11" style="21" bestFit="1" customWidth="1"/>
    <col min="1800" max="1801" width="12.28515625" style="21" bestFit="1" customWidth="1"/>
    <col min="1802" max="1802" width="10" style="21" bestFit="1" customWidth="1"/>
    <col min="1803" max="1803" width="1.42578125" style="21" bestFit="1" customWidth="1"/>
    <col min="1804" max="1804" width="0.28515625" style="21" bestFit="1" customWidth="1"/>
    <col min="1805" max="1805" width="4.7109375" style="21" bestFit="1" customWidth="1"/>
    <col min="1806" max="2046" width="8.85546875" style="21"/>
    <col min="2047" max="2047" width="80.85546875" style="21" bestFit="1" customWidth="1"/>
    <col min="2048" max="2048" width="8.42578125" style="21" bestFit="1" customWidth="1"/>
    <col min="2049" max="2049" width="12.85546875" style="21" bestFit="1" customWidth="1"/>
    <col min="2050" max="2050" width="13.140625" style="21" bestFit="1" customWidth="1"/>
    <col min="2051" max="2053" width="12.28515625" style="21" bestFit="1" customWidth="1"/>
    <col min="2054" max="2054" width="10.140625" style="21" bestFit="1" customWidth="1"/>
    <col min="2055" max="2055" width="11" style="21" bestFit="1" customWidth="1"/>
    <col min="2056" max="2057" width="12.28515625" style="21" bestFit="1" customWidth="1"/>
    <col min="2058" max="2058" width="10" style="21" bestFit="1" customWidth="1"/>
    <col min="2059" max="2059" width="1.42578125" style="21" bestFit="1" customWidth="1"/>
    <col min="2060" max="2060" width="0.28515625" style="21" bestFit="1" customWidth="1"/>
    <col min="2061" max="2061" width="4.7109375" style="21" bestFit="1" customWidth="1"/>
    <col min="2062" max="2302" width="8.85546875" style="21"/>
    <col min="2303" max="2303" width="80.85546875" style="21" bestFit="1" customWidth="1"/>
    <col min="2304" max="2304" width="8.42578125" style="21" bestFit="1" customWidth="1"/>
    <col min="2305" max="2305" width="12.85546875" style="21" bestFit="1" customWidth="1"/>
    <col min="2306" max="2306" width="13.140625" style="21" bestFit="1" customWidth="1"/>
    <col min="2307" max="2309" width="12.28515625" style="21" bestFit="1" customWidth="1"/>
    <col min="2310" max="2310" width="10.140625" style="21" bestFit="1" customWidth="1"/>
    <col min="2311" max="2311" width="11" style="21" bestFit="1" customWidth="1"/>
    <col min="2312" max="2313" width="12.28515625" style="21" bestFit="1" customWidth="1"/>
    <col min="2314" max="2314" width="10" style="21" bestFit="1" customWidth="1"/>
    <col min="2315" max="2315" width="1.42578125" style="21" bestFit="1" customWidth="1"/>
    <col min="2316" max="2316" width="0.28515625" style="21" bestFit="1" customWidth="1"/>
    <col min="2317" max="2317" width="4.7109375" style="21" bestFit="1" customWidth="1"/>
    <col min="2318" max="2558" width="8.85546875" style="21"/>
    <col min="2559" max="2559" width="80.85546875" style="21" bestFit="1" customWidth="1"/>
    <col min="2560" max="2560" width="8.42578125" style="21" bestFit="1" customWidth="1"/>
    <col min="2561" max="2561" width="12.85546875" style="21" bestFit="1" customWidth="1"/>
    <col min="2562" max="2562" width="13.140625" style="21" bestFit="1" customWidth="1"/>
    <col min="2563" max="2565" width="12.28515625" style="21" bestFit="1" customWidth="1"/>
    <col min="2566" max="2566" width="10.140625" style="21" bestFit="1" customWidth="1"/>
    <col min="2567" max="2567" width="11" style="21" bestFit="1" customWidth="1"/>
    <col min="2568" max="2569" width="12.28515625" style="21" bestFit="1" customWidth="1"/>
    <col min="2570" max="2570" width="10" style="21" bestFit="1" customWidth="1"/>
    <col min="2571" max="2571" width="1.42578125" style="21" bestFit="1" customWidth="1"/>
    <col min="2572" max="2572" width="0.28515625" style="21" bestFit="1" customWidth="1"/>
    <col min="2573" max="2573" width="4.7109375" style="21" bestFit="1" customWidth="1"/>
    <col min="2574" max="2814" width="8.85546875" style="21"/>
    <col min="2815" max="2815" width="80.85546875" style="21" bestFit="1" customWidth="1"/>
    <col min="2816" max="2816" width="8.42578125" style="21" bestFit="1" customWidth="1"/>
    <col min="2817" max="2817" width="12.85546875" style="21" bestFit="1" customWidth="1"/>
    <col min="2818" max="2818" width="13.140625" style="21" bestFit="1" customWidth="1"/>
    <col min="2819" max="2821" width="12.28515625" style="21" bestFit="1" customWidth="1"/>
    <col min="2822" max="2822" width="10.140625" style="21" bestFit="1" customWidth="1"/>
    <col min="2823" max="2823" width="11" style="21" bestFit="1" customWidth="1"/>
    <col min="2824" max="2825" width="12.28515625" style="21" bestFit="1" customWidth="1"/>
    <col min="2826" max="2826" width="10" style="21" bestFit="1" customWidth="1"/>
    <col min="2827" max="2827" width="1.42578125" style="21" bestFit="1" customWidth="1"/>
    <col min="2828" max="2828" width="0.28515625" style="21" bestFit="1" customWidth="1"/>
    <col min="2829" max="2829" width="4.7109375" style="21" bestFit="1" customWidth="1"/>
    <col min="2830" max="3070" width="8.85546875" style="21"/>
    <col min="3071" max="3071" width="80.85546875" style="21" bestFit="1" customWidth="1"/>
    <col min="3072" max="3072" width="8.42578125" style="21" bestFit="1" customWidth="1"/>
    <col min="3073" max="3073" width="12.85546875" style="21" bestFit="1" customWidth="1"/>
    <col min="3074" max="3074" width="13.140625" style="21" bestFit="1" customWidth="1"/>
    <col min="3075" max="3077" width="12.28515625" style="21" bestFit="1" customWidth="1"/>
    <col min="3078" max="3078" width="10.140625" style="21" bestFit="1" customWidth="1"/>
    <col min="3079" max="3079" width="11" style="21" bestFit="1" customWidth="1"/>
    <col min="3080" max="3081" width="12.28515625" style="21" bestFit="1" customWidth="1"/>
    <col min="3082" max="3082" width="10" style="21" bestFit="1" customWidth="1"/>
    <col min="3083" max="3083" width="1.42578125" style="21" bestFit="1" customWidth="1"/>
    <col min="3084" max="3084" width="0.28515625" style="21" bestFit="1" customWidth="1"/>
    <col min="3085" max="3085" width="4.7109375" style="21" bestFit="1" customWidth="1"/>
    <col min="3086" max="3326" width="8.85546875" style="21"/>
    <col min="3327" max="3327" width="80.85546875" style="21" bestFit="1" customWidth="1"/>
    <col min="3328" max="3328" width="8.42578125" style="21" bestFit="1" customWidth="1"/>
    <col min="3329" max="3329" width="12.85546875" style="21" bestFit="1" customWidth="1"/>
    <col min="3330" max="3330" width="13.140625" style="21" bestFit="1" customWidth="1"/>
    <col min="3331" max="3333" width="12.28515625" style="21" bestFit="1" customWidth="1"/>
    <col min="3334" max="3334" width="10.140625" style="21" bestFit="1" customWidth="1"/>
    <col min="3335" max="3335" width="11" style="21" bestFit="1" customWidth="1"/>
    <col min="3336" max="3337" width="12.28515625" style="21" bestFit="1" customWidth="1"/>
    <col min="3338" max="3338" width="10" style="21" bestFit="1" customWidth="1"/>
    <col min="3339" max="3339" width="1.42578125" style="21" bestFit="1" customWidth="1"/>
    <col min="3340" max="3340" width="0.28515625" style="21" bestFit="1" customWidth="1"/>
    <col min="3341" max="3341" width="4.7109375" style="21" bestFit="1" customWidth="1"/>
    <col min="3342" max="3582" width="8.85546875" style="21"/>
    <col min="3583" max="3583" width="80.85546875" style="21" bestFit="1" customWidth="1"/>
    <col min="3584" max="3584" width="8.42578125" style="21" bestFit="1" customWidth="1"/>
    <col min="3585" max="3585" width="12.85546875" style="21" bestFit="1" customWidth="1"/>
    <col min="3586" max="3586" width="13.140625" style="21" bestFit="1" customWidth="1"/>
    <col min="3587" max="3589" width="12.28515625" style="21" bestFit="1" customWidth="1"/>
    <col min="3590" max="3590" width="10.140625" style="21" bestFit="1" customWidth="1"/>
    <col min="3591" max="3591" width="11" style="21" bestFit="1" customWidth="1"/>
    <col min="3592" max="3593" width="12.28515625" style="21" bestFit="1" customWidth="1"/>
    <col min="3594" max="3594" width="10" style="21" bestFit="1" customWidth="1"/>
    <col min="3595" max="3595" width="1.42578125" style="21" bestFit="1" customWidth="1"/>
    <col min="3596" max="3596" width="0.28515625" style="21" bestFit="1" customWidth="1"/>
    <col min="3597" max="3597" width="4.7109375" style="21" bestFit="1" customWidth="1"/>
    <col min="3598" max="3838" width="8.85546875" style="21"/>
    <col min="3839" max="3839" width="80.85546875" style="21" bestFit="1" customWidth="1"/>
    <col min="3840" max="3840" width="8.42578125" style="21" bestFit="1" customWidth="1"/>
    <col min="3841" max="3841" width="12.85546875" style="21" bestFit="1" customWidth="1"/>
    <col min="3842" max="3842" width="13.140625" style="21" bestFit="1" customWidth="1"/>
    <col min="3843" max="3845" width="12.28515625" style="21" bestFit="1" customWidth="1"/>
    <col min="3846" max="3846" width="10.140625" style="21" bestFit="1" customWidth="1"/>
    <col min="3847" max="3847" width="11" style="21" bestFit="1" customWidth="1"/>
    <col min="3848" max="3849" width="12.28515625" style="21" bestFit="1" customWidth="1"/>
    <col min="3850" max="3850" width="10" style="21" bestFit="1" customWidth="1"/>
    <col min="3851" max="3851" width="1.42578125" style="21" bestFit="1" customWidth="1"/>
    <col min="3852" max="3852" width="0.28515625" style="21" bestFit="1" customWidth="1"/>
    <col min="3853" max="3853" width="4.7109375" style="21" bestFit="1" customWidth="1"/>
    <col min="3854" max="4094" width="8.85546875" style="21"/>
    <col min="4095" max="4095" width="80.85546875" style="21" bestFit="1" customWidth="1"/>
    <col min="4096" max="4096" width="8.42578125" style="21" bestFit="1" customWidth="1"/>
    <col min="4097" max="4097" width="12.85546875" style="21" bestFit="1" customWidth="1"/>
    <col min="4098" max="4098" width="13.140625" style="21" bestFit="1" customWidth="1"/>
    <col min="4099" max="4101" width="12.28515625" style="21" bestFit="1" customWidth="1"/>
    <col min="4102" max="4102" width="10.140625" style="21" bestFit="1" customWidth="1"/>
    <col min="4103" max="4103" width="11" style="21" bestFit="1" customWidth="1"/>
    <col min="4104" max="4105" width="12.28515625" style="21" bestFit="1" customWidth="1"/>
    <col min="4106" max="4106" width="10" style="21" bestFit="1" customWidth="1"/>
    <col min="4107" max="4107" width="1.42578125" style="21" bestFit="1" customWidth="1"/>
    <col min="4108" max="4108" width="0.28515625" style="21" bestFit="1" customWidth="1"/>
    <col min="4109" max="4109" width="4.7109375" style="21" bestFit="1" customWidth="1"/>
    <col min="4110" max="4350" width="8.85546875" style="21"/>
    <col min="4351" max="4351" width="80.85546875" style="21" bestFit="1" customWidth="1"/>
    <col min="4352" max="4352" width="8.42578125" style="21" bestFit="1" customWidth="1"/>
    <col min="4353" max="4353" width="12.85546875" style="21" bestFit="1" customWidth="1"/>
    <col min="4354" max="4354" width="13.140625" style="21" bestFit="1" customWidth="1"/>
    <col min="4355" max="4357" width="12.28515625" style="21" bestFit="1" customWidth="1"/>
    <col min="4358" max="4358" width="10.140625" style="21" bestFit="1" customWidth="1"/>
    <col min="4359" max="4359" width="11" style="21" bestFit="1" customWidth="1"/>
    <col min="4360" max="4361" width="12.28515625" style="21" bestFit="1" customWidth="1"/>
    <col min="4362" max="4362" width="10" style="21" bestFit="1" customWidth="1"/>
    <col min="4363" max="4363" width="1.42578125" style="21" bestFit="1" customWidth="1"/>
    <col min="4364" max="4364" width="0.28515625" style="21" bestFit="1" customWidth="1"/>
    <col min="4365" max="4365" width="4.7109375" style="21" bestFit="1" customWidth="1"/>
    <col min="4366" max="4606" width="8.85546875" style="21"/>
    <col min="4607" max="4607" width="80.85546875" style="21" bestFit="1" customWidth="1"/>
    <col min="4608" max="4608" width="8.42578125" style="21" bestFit="1" customWidth="1"/>
    <col min="4609" max="4609" width="12.85546875" style="21" bestFit="1" customWidth="1"/>
    <col min="4610" max="4610" width="13.140625" style="21" bestFit="1" customWidth="1"/>
    <col min="4611" max="4613" width="12.28515625" style="21" bestFit="1" customWidth="1"/>
    <col min="4614" max="4614" width="10.140625" style="21" bestFit="1" customWidth="1"/>
    <col min="4615" max="4615" width="11" style="21" bestFit="1" customWidth="1"/>
    <col min="4616" max="4617" width="12.28515625" style="21" bestFit="1" customWidth="1"/>
    <col min="4618" max="4618" width="10" style="21" bestFit="1" customWidth="1"/>
    <col min="4619" max="4619" width="1.42578125" style="21" bestFit="1" customWidth="1"/>
    <col min="4620" max="4620" width="0.28515625" style="21" bestFit="1" customWidth="1"/>
    <col min="4621" max="4621" width="4.7109375" style="21" bestFit="1" customWidth="1"/>
    <col min="4622" max="4862" width="8.85546875" style="21"/>
    <col min="4863" max="4863" width="80.85546875" style="21" bestFit="1" customWidth="1"/>
    <col min="4864" max="4864" width="8.42578125" style="21" bestFit="1" customWidth="1"/>
    <col min="4865" max="4865" width="12.85546875" style="21" bestFit="1" customWidth="1"/>
    <col min="4866" max="4866" width="13.140625" style="21" bestFit="1" customWidth="1"/>
    <col min="4867" max="4869" width="12.28515625" style="21" bestFit="1" customWidth="1"/>
    <col min="4870" max="4870" width="10.140625" style="21" bestFit="1" customWidth="1"/>
    <col min="4871" max="4871" width="11" style="21" bestFit="1" customWidth="1"/>
    <col min="4872" max="4873" width="12.28515625" style="21" bestFit="1" customWidth="1"/>
    <col min="4874" max="4874" width="10" style="21" bestFit="1" customWidth="1"/>
    <col min="4875" max="4875" width="1.42578125" style="21" bestFit="1" customWidth="1"/>
    <col min="4876" max="4876" width="0.28515625" style="21" bestFit="1" customWidth="1"/>
    <col min="4877" max="4877" width="4.7109375" style="21" bestFit="1" customWidth="1"/>
    <col min="4878" max="5118" width="8.85546875" style="21"/>
    <col min="5119" max="5119" width="80.85546875" style="21" bestFit="1" customWidth="1"/>
    <col min="5120" max="5120" width="8.42578125" style="21" bestFit="1" customWidth="1"/>
    <col min="5121" max="5121" width="12.85546875" style="21" bestFit="1" customWidth="1"/>
    <col min="5122" max="5122" width="13.140625" style="21" bestFit="1" customWidth="1"/>
    <col min="5123" max="5125" width="12.28515625" style="21" bestFit="1" customWidth="1"/>
    <col min="5126" max="5126" width="10.140625" style="21" bestFit="1" customWidth="1"/>
    <col min="5127" max="5127" width="11" style="21" bestFit="1" customWidth="1"/>
    <col min="5128" max="5129" width="12.28515625" style="21" bestFit="1" customWidth="1"/>
    <col min="5130" max="5130" width="10" style="21" bestFit="1" customWidth="1"/>
    <col min="5131" max="5131" width="1.42578125" style="21" bestFit="1" customWidth="1"/>
    <col min="5132" max="5132" width="0.28515625" style="21" bestFit="1" customWidth="1"/>
    <col min="5133" max="5133" width="4.7109375" style="21" bestFit="1" customWidth="1"/>
    <col min="5134" max="5374" width="8.85546875" style="21"/>
    <col min="5375" max="5375" width="80.85546875" style="21" bestFit="1" customWidth="1"/>
    <col min="5376" max="5376" width="8.42578125" style="21" bestFit="1" customWidth="1"/>
    <col min="5377" max="5377" width="12.85546875" style="21" bestFit="1" customWidth="1"/>
    <col min="5378" max="5378" width="13.140625" style="21" bestFit="1" customWidth="1"/>
    <col min="5379" max="5381" width="12.28515625" style="21" bestFit="1" customWidth="1"/>
    <col min="5382" max="5382" width="10.140625" style="21" bestFit="1" customWidth="1"/>
    <col min="5383" max="5383" width="11" style="21" bestFit="1" customWidth="1"/>
    <col min="5384" max="5385" width="12.28515625" style="21" bestFit="1" customWidth="1"/>
    <col min="5386" max="5386" width="10" style="21" bestFit="1" customWidth="1"/>
    <col min="5387" max="5387" width="1.42578125" style="21" bestFit="1" customWidth="1"/>
    <col min="5388" max="5388" width="0.28515625" style="21" bestFit="1" customWidth="1"/>
    <col min="5389" max="5389" width="4.7109375" style="21" bestFit="1" customWidth="1"/>
    <col min="5390" max="5630" width="8.85546875" style="21"/>
    <col min="5631" max="5631" width="80.85546875" style="21" bestFit="1" customWidth="1"/>
    <col min="5632" max="5632" width="8.42578125" style="21" bestFit="1" customWidth="1"/>
    <col min="5633" max="5633" width="12.85546875" style="21" bestFit="1" customWidth="1"/>
    <col min="5634" max="5634" width="13.140625" style="21" bestFit="1" customWidth="1"/>
    <col min="5635" max="5637" width="12.28515625" style="21" bestFit="1" customWidth="1"/>
    <col min="5638" max="5638" width="10.140625" style="21" bestFit="1" customWidth="1"/>
    <col min="5639" max="5639" width="11" style="21" bestFit="1" customWidth="1"/>
    <col min="5640" max="5641" width="12.28515625" style="21" bestFit="1" customWidth="1"/>
    <col min="5642" max="5642" width="10" style="21" bestFit="1" customWidth="1"/>
    <col min="5643" max="5643" width="1.42578125" style="21" bestFit="1" customWidth="1"/>
    <col min="5644" max="5644" width="0.28515625" style="21" bestFit="1" customWidth="1"/>
    <col min="5645" max="5645" width="4.7109375" style="21" bestFit="1" customWidth="1"/>
    <col min="5646" max="5886" width="8.85546875" style="21"/>
    <col min="5887" max="5887" width="80.85546875" style="21" bestFit="1" customWidth="1"/>
    <col min="5888" max="5888" width="8.42578125" style="21" bestFit="1" customWidth="1"/>
    <col min="5889" max="5889" width="12.85546875" style="21" bestFit="1" customWidth="1"/>
    <col min="5890" max="5890" width="13.140625" style="21" bestFit="1" customWidth="1"/>
    <col min="5891" max="5893" width="12.28515625" style="21" bestFit="1" customWidth="1"/>
    <col min="5894" max="5894" width="10.140625" style="21" bestFit="1" customWidth="1"/>
    <col min="5895" max="5895" width="11" style="21" bestFit="1" customWidth="1"/>
    <col min="5896" max="5897" width="12.28515625" style="21" bestFit="1" customWidth="1"/>
    <col min="5898" max="5898" width="10" style="21" bestFit="1" customWidth="1"/>
    <col min="5899" max="5899" width="1.42578125" style="21" bestFit="1" customWidth="1"/>
    <col min="5900" max="5900" width="0.28515625" style="21" bestFit="1" customWidth="1"/>
    <col min="5901" max="5901" width="4.7109375" style="21" bestFit="1" customWidth="1"/>
    <col min="5902" max="6142" width="8.85546875" style="21"/>
    <col min="6143" max="6143" width="80.85546875" style="21" bestFit="1" customWidth="1"/>
    <col min="6144" max="6144" width="8.42578125" style="21" bestFit="1" customWidth="1"/>
    <col min="6145" max="6145" width="12.85546875" style="21" bestFit="1" customWidth="1"/>
    <col min="6146" max="6146" width="13.140625" style="21" bestFit="1" customWidth="1"/>
    <col min="6147" max="6149" width="12.28515625" style="21" bestFit="1" customWidth="1"/>
    <col min="6150" max="6150" width="10.140625" style="21" bestFit="1" customWidth="1"/>
    <col min="6151" max="6151" width="11" style="21" bestFit="1" customWidth="1"/>
    <col min="6152" max="6153" width="12.28515625" style="21" bestFit="1" customWidth="1"/>
    <col min="6154" max="6154" width="10" style="21" bestFit="1" customWidth="1"/>
    <col min="6155" max="6155" width="1.42578125" style="21" bestFit="1" customWidth="1"/>
    <col min="6156" max="6156" width="0.28515625" style="21" bestFit="1" customWidth="1"/>
    <col min="6157" max="6157" width="4.7109375" style="21" bestFit="1" customWidth="1"/>
    <col min="6158" max="6398" width="8.85546875" style="21"/>
    <col min="6399" max="6399" width="80.85546875" style="21" bestFit="1" customWidth="1"/>
    <col min="6400" max="6400" width="8.42578125" style="21" bestFit="1" customWidth="1"/>
    <col min="6401" max="6401" width="12.85546875" style="21" bestFit="1" customWidth="1"/>
    <col min="6402" max="6402" width="13.140625" style="21" bestFit="1" customWidth="1"/>
    <col min="6403" max="6405" width="12.28515625" style="21" bestFit="1" customWidth="1"/>
    <col min="6406" max="6406" width="10.140625" style="21" bestFit="1" customWidth="1"/>
    <col min="6407" max="6407" width="11" style="21" bestFit="1" customWidth="1"/>
    <col min="6408" max="6409" width="12.28515625" style="21" bestFit="1" customWidth="1"/>
    <col min="6410" max="6410" width="10" style="21" bestFit="1" customWidth="1"/>
    <col min="6411" max="6411" width="1.42578125" style="21" bestFit="1" customWidth="1"/>
    <col min="6412" max="6412" width="0.28515625" style="21" bestFit="1" customWidth="1"/>
    <col min="6413" max="6413" width="4.7109375" style="21" bestFit="1" customWidth="1"/>
    <col min="6414" max="6654" width="8.85546875" style="21"/>
    <col min="6655" max="6655" width="80.85546875" style="21" bestFit="1" customWidth="1"/>
    <col min="6656" max="6656" width="8.42578125" style="21" bestFit="1" customWidth="1"/>
    <col min="6657" max="6657" width="12.85546875" style="21" bestFit="1" customWidth="1"/>
    <col min="6658" max="6658" width="13.140625" style="21" bestFit="1" customWidth="1"/>
    <col min="6659" max="6661" width="12.28515625" style="21" bestFit="1" customWidth="1"/>
    <col min="6662" max="6662" width="10.140625" style="21" bestFit="1" customWidth="1"/>
    <col min="6663" max="6663" width="11" style="21" bestFit="1" customWidth="1"/>
    <col min="6664" max="6665" width="12.28515625" style="21" bestFit="1" customWidth="1"/>
    <col min="6666" max="6666" width="10" style="21" bestFit="1" customWidth="1"/>
    <col min="6667" max="6667" width="1.42578125" style="21" bestFit="1" customWidth="1"/>
    <col min="6668" max="6668" width="0.28515625" style="21" bestFit="1" customWidth="1"/>
    <col min="6669" max="6669" width="4.7109375" style="21" bestFit="1" customWidth="1"/>
    <col min="6670" max="6910" width="8.85546875" style="21"/>
    <col min="6911" max="6911" width="80.85546875" style="21" bestFit="1" customWidth="1"/>
    <col min="6912" max="6912" width="8.42578125" style="21" bestFit="1" customWidth="1"/>
    <col min="6913" max="6913" width="12.85546875" style="21" bestFit="1" customWidth="1"/>
    <col min="6914" max="6914" width="13.140625" style="21" bestFit="1" customWidth="1"/>
    <col min="6915" max="6917" width="12.28515625" style="21" bestFit="1" customWidth="1"/>
    <col min="6918" max="6918" width="10.140625" style="21" bestFit="1" customWidth="1"/>
    <col min="6919" max="6919" width="11" style="21" bestFit="1" customWidth="1"/>
    <col min="6920" max="6921" width="12.28515625" style="21" bestFit="1" customWidth="1"/>
    <col min="6922" max="6922" width="10" style="21" bestFit="1" customWidth="1"/>
    <col min="6923" max="6923" width="1.42578125" style="21" bestFit="1" customWidth="1"/>
    <col min="6924" max="6924" width="0.28515625" style="21" bestFit="1" customWidth="1"/>
    <col min="6925" max="6925" width="4.7109375" style="21" bestFit="1" customWidth="1"/>
    <col min="6926" max="7166" width="8.85546875" style="21"/>
    <col min="7167" max="7167" width="80.85546875" style="21" bestFit="1" customWidth="1"/>
    <col min="7168" max="7168" width="8.42578125" style="21" bestFit="1" customWidth="1"/>
    <col min="7169" max="7169" width="12.85546875" style="21" bestFit="1" customWidth="1"/>
    <col min="7170" max="7170" width="13.140625" style="21" bestFit="1" customWidth="1"/>
    <col min="7171" max="7173" width="12.28515625" style="21" bestFit="1" customWidth="1"/>
    <col min="7174" max="7174" width="10.140625" style="21" bestFit="1" customWidth="1"/>
    <col min="7175" max="7175" width="11" style="21" bestFit="1" customWidth="1"/>
    <col min="7176" max="7177" width="12.28515625" style="21" bestFit="1" customWidth="1"/>
    <col min="7178" max="7178" width="10" style="21" bestFit="1" customWidth="1"/>
    <col min="7179" max="7179" width="1.42578125" style="21" bestFit="1" customWidth="1"/>
    <col min="7180" max="7180" width="0.28515625" style="21" bestFit="1" customWidth="1"/>
    <col min="7181" max="7181" width="4.7109375" style="21" bestFit="1" customWidth="1"/>
    <col min="7182" max="7422" width="8.85546875" style="21"/>
    <col min="7423" max="7423" width="80.85546875" style="21" bestFit="1" customWidth="1"/>
    <col min="7424" max="7424" width="8.42578125" style="21" bestFit="1" customWidth="1"/>
    <col min="7425" max="7425" width="12.85546875" style="21" bestFit="1" customWidth="1"/>
    <col min="7426" max="7426" width="13.140625" style="21" bestFit="1" customWidth="1"/>
    <col min="7427" max="7429" width="12.28515625" style="21" bestFit="1" customWidth="1"/>
    <col min="7430" max="7430" width="10.140625" style="21" bestFit="1" customWidth="1"/>
    <col min="7431" max="7431" width="11" style="21" bestFit="1" customWidth="1"/>
    <col min="7432" max="7433" width="12.28515625" style="21" bestFit="1" customWidth="1"/>
    <col min="7434" max="7434" width="10" style="21" bestFit="1" customWidth="1"/>
    <col min="7435" max="7435" width="1.42578125" style="21" bestFit="1" customWidth="1"/>
    <col min="7436" max="7436" width="0.28515625" style="21" bestFit="1" customWidth="1"/>
    <col min="7437" max="7437" width="4.7109375" style="21" bestFit="1" customWidth="1"/>
    <col min="7438" max="7678" width="8.85546875" style="21"/>
    <col min="7679" max="7679" width="80.85546875" style="21" bestFit="1" customWidth="1"/>
    <col min="7680" max="7680" width="8.42578125" style="21" bestFit="1" customWidth="1"/>
    <col min="7681" max="7681" width="12.85546875" style="21" bestFit="1" customWidth="1"/>
    <col min="7682" max="7682" width="13.140625" style="21" bestFit="1" customWidth="1"/>
    <col min="7683" max="7685" width="12.28515625" style="21" bestFit="1" customWidth="1"/>
    <col min="7686" max="7686" width="10.140625" style="21" bestFit="1" customWidth="1"/>
    <col min="7687" max="7687" width="11" style="21" bestFit="1" customWidth="1"/>
    <col min="7688" max="7689" width="12.28515625" style="21" bestFit="1" customWidth="1"/>
    <col min="7690" max="7690" width="10" style="21" bestFit="1" customWidth="1"/>
    <col min="7691" max="7691" width="1.42578125" style="21" bestFit="1" customWidth="1"/>
    <col min="7692" max="7692" width="0.28515625" style="21" bestFit="1" customWidth="1"/>
    <col min="7693" max="7693" width="4.7109375" style="21" bestFit="1" customWidth="1"/>
    <col min="7694" max="7934" width="8.85546875" style="21"/>
    <col min="7935" max="7935" width="80.85546875" style="21" bestFit="1" customWidth="1"/>
    <col min="7936" max="7936" width="8.42578125" style="21" bestFit="1" customWidth="1"/>
    <col min="7937" max="7937" width="12.85546875" style="21" bestFit="1" customWidth="1"/>
    <col min="7938" max="7938" width="13.140625" style="21" bestFit="1" customWidth="1"/>
    <col min="7939" max="7941" width="12.28515625" style="21" bestFit="1" customWidth="1"/>
    <col min="7942" max="7942" width="10.140625" style="21" bestFit="1" customWidth="1"/>
    <col min="7943" max="7943" width="11" style="21" bestFit="1" customWidth="1"/>
    <col min="7944" max="7945" width="12.28515625" style="21" bestFit="1" customWidth="1"/>
    <col min="7946" max="7946" width="10" style="21" bestFit="1" customWidth="1"/>
    <col min="7947" max="7947" width="1.42578125" style="21" bestFit="1" customWidth="1"/>
    <col min="7948" max="7948" width="0.28515625" style="21" bestFit="1" customWidth="1"/>
    <col min="7949" max="7949" width="4.7109375" style="21" bestFit="1" customWidth="1"/>
    <col min="7950" max="8190" width="8.85546875" style="21"/>
    <col min="8191" max="8191" width="80.85546875" style="21" bestFit="1" customWidth="1"/>
    <col min="8192" max="8192" width="8.42578125" style="21" bestFit="1" customWidth="1"/>
    <col min="8193" max="8193" width="12.85546875" style="21" bestFit="1" customWidth="1"/>
    <col min="8194" max="8194" width="13.140625" style="21" bestFit="1" customWidth="1"/>
    <col min="8195" max="8197" width="12.28515625" style="21" bestFit="1" customWidth="1"/>
    <col min="8198" max="8198" width="10.140625" style="21" bestFit="1" customWidth="1"/>
    <col min="8199" max="8199" width="11" style="21" bestFit="1" customWidth="1"/>
    <col min="8200" max="8201" width="12.28515625" style="21" bestFit="1" customWidth="1"/>
    <col min="8202" max="8202" width="10" style="21" bestFit="1" customWidth="1"/>
    <col min="8203" max="8203" width="1.42578125" style="21" bestFit="1" customWidth="1"/>
    <col min="8204" max="8204" width="0.28515625" style="21" bestFit="1" customWidth="1"/>
    <col min="8205" max="8205" width="4.7109375" style="21" bestFit="1" customWidth="1"/>
    <col min="8206" max="8446" width="8.85546875" style="21"/>
    <col min="8447" max="8447" width="80.85546875" style="21" bestFit="1" customWidth="1"/>
    <col min="8448" max="8448" width="8.42578125" style="21" bestFit="1" customWidth="1"/>
    <col min="8449" max="8449" width="12.85546875" style="21" bestFit="1" customWidth="1"/>
    <col min="8450" max="8450" width="13.140625" style="21" bestFit="1" customWidth="1"/>
    <col min="8451" max="8453" width="12.28515625" style="21" bestFit="1" customWidth="1"/>
    <col min="8454" max="8454" width="10.140625" style="21" bestFit="1" customWidth="1"/>
    <col min="8455" max="8455" width="11" style="21" bestFit="1" customWidth="1"/>
    <col min="8456" max="8457" width="12.28515625" style="21" bestFit="1" customWidth="1"/>
    <col min="8458" max="8458" width="10" style="21" bestFit="1" customWidth="1"/>
    <col min="8459" max="8459" width="1.42578125" style="21" bestFit="1" customWidth="1"/>
    <col min="8460" max="8460" width="0.28515625" style="21" bestFit="1" customWidth="1"/>
    <col min="8461" max="8461" width="4.7109375" style="21" bestFit="1" customWidth="1"/>
    <col min="8462" max="8702" width="8.85546875" style="21"/>
    <col min="8703" max="8703" width="80.85546875" style="21" bestFit="1" customWidth="1"/>
    <col min="8704" max="8704" width="8.42578125" style="21" bestFit="1" customWidth="1"/>
    <col min="8705" max="8705" width="12.85546875" style="21" bestFit="1" customWidth="1"/>
    <col min="8706" max="8706" width="13.140625" style="21" bestFit="1" customWidth="1"/>
    <col min="8707" max="8709" width="12.28515625" style="21" bestFit="1" customWidth="1"/>
    <col min="8710" max="8710" width="10.140625" style="21" bestFit="1" customWidth="1"/>
    <col min="8711" max="8711" width="11" style="21" bestFit="1" customWidth="1"/>
    <col min="8712" max="8713" width="12.28515625" style="21" bestFit="1" customWidth="1"/>
    <col min="8714" max="8714" width="10" style="21" bestFit="1" customWidth="1"/>
    <col min="8715" max="8715" width="1.42578125" style="21" bestFit="1" customWidth="1"/>
    <col min="8716" max="8716" width="0.28515625" style="21" bestFit="1" customWidth="1"/>
    <col min="8717" max="8717" width="4.7109375" style="21" bestFit="1" customWidth="1"/>
    <col min="8718" max="8958" width="8.85546875" style="21"/>
    <col min="8959" max="8959" width="80.85546875" style="21" bestFit="1" customWidth="1"/>
    <col min="8960" max="8960" width="8.42578125" style="21" bestFit="1" customWidth="1"/>
    <col min="8961" max="8961" width="12.85546875" style="21" bestFit="1" customWidth="1"/>
    <col min="8962" max="8962" width="13.140625" style="21" bestFit="1" customWidth="1"/>
    <col min="8963" max="8965" width="12.28515625" style="21" bestFit="1" customWidth="1"/>
    <col min="8966" max="8966" width="10.140625" style="21" bestFit="1" customWidth="1"/>
    <col min="8967" max="8967" width="11" style="21" bestFit="1" customWidth="1"/>
    <col min="8968" max="8969" width="12.28515625" style="21" bestFit="1" customWidth="1"/>
    <col min="8970" max="8970" width="10" style="21" bestFit="1" customWidth="1"/>
    <col min="8971" max="8971" width="1.42578125" style="21" bestFit="1" customWidth="1"/>
    <col min="8972" max="8972" width="0.28515625" style="21" bestFit="1" customWidth="1"/>
    <col min="8973" max="8973" width="4.7109375" style="21" bestFit="1" customWidth="1"/>
    <col min="8974" max="9214" width="8.85546875" style="21"/>
    <col min="9215" max="9215" width="80.85546875" style="21" bestFit="1" customWidth="1"/>
    <col min="9216" max="9216" width="8.42578125" style="21" bestFit="1" customWidth="1"/>
    <col min="9217" max="9217" width="12.85546875" style="21" bestFit="1" customWidth="1"/>
    <col min="9218" max="9218" width="13.140625" style="21" bestFit="1" customWidth="1"/>
    <col min="9219" max="9221" width="12.28515625" style="21" bestFit="1" customWidth="1"/>
    <col min="9222" max="9222" width="10.140625" style="21" bestFit="1" customWidth="1"/>
    <col min="9223" max="9223" width="11" style="21" bestFit="1" customWidth="1"/>
    <col min="9224" max="9225" width="12.28515625" style="21" bestFit="1" customWidth="1"/>
    <col min="9226" max="9226" width="10" style="21" bestFit="1" customWidth="1"/>
    <col min="9227" max="9227" width="1.42578125" style="21" bestFit="1" customWidth="1"/>
    <col min="9228" max="9228" width="0.28515625" style="21" bestFit="1" customWidth="1"/>
    <col min="9229" max="9229" width="4.7109375" style="21" bestFit="1" customWidth="1"/>
    <col min="9230" max="9470" width="8.85546875" style="21"/>
    <col min="9471" max="9471" width="80.85546875" style="21" bestFit="1" customWidth="1"/>
    <col min="9472" max="9472" width="8.42578125" style="21" bestFit="1" customWidth="1"/>
    <col min="9473" max="9473" width="12.85546875" style="21" bestFit="1" customWidth="1"/>
    <col min="9474" max="9474" width="13.140625" style="21" bestFit="1" customWidth="1"/>
    <col min="9475" max="9477" width="12.28515625" style="21" bestFit="1" customWidth="1"/>
    <col min="9478" max="9478" width="10.140625" style="21" bestFit="1" customWidth="1"/>
    <col min="9479" max="9479" width="11" style="21" bestFit="1" customWidth="1"/>
    <col min="9480" max="9481" width="12.28515625" style="21" bestFit="1" customWidth="1"/>
    <col min="9482" max="9482" width="10" style="21" bestFit="1" customWidth="1"/>
    <col min="9483" max="9483" width="1.42578125" style="21" bestFit="1" customWidth="1"/>
    <col min="9484" max="9484" width="0.28515625" style="21" bestFit="1" customWidth="1"/>
    <col min="9485" max="9485" width="4.7109375" style="21" bestFit="1" customWidth="1"/>
    <col min="9486" max="9726" width="8.85546875" style="21"/>
    <col min="9727" max="9727" width="80.85546875" style="21" bestFit="1" customWidth="1"/>
    <col min="9728" max="9728" width="8.42578125" style="21" bestFit="1" customWidth="1"/>
    <col min="9729" max="9729" width="12.85546875" style="21" bestFit="1" customWidth="1"/>
    <col min="9730" max="9730" width="13.140625" style="21" bestFit="1" customWidth="1"/>
    <col min="9731" max="9733" width="12.28515625" style="21" bestFit="1" customWidth="1"/>
    <col min="9734" max="9734" width="10.140625" style="21" bestFit="1" customWidth="1"/>
    <col min="9735" max="9735" width="11" style="21" bestFit="1" customWidth="1"/>
    <col min="9736" max="9737" width="12.28515625" style="21" bestFit="1" customWidth="1"/>
    <col min="9738" max="9738" width="10" style="21" bestFit="1" customWidth="1"/>
    <col min="9739" max="9739" width="1.42578125" style="21" bestFit="1" customWidth="1"/>
    <col min="9740" max="9740" width="0.28515625" style="21" bestFit="1" customWidth="1"/>
    <col min="9741" max="9741" width="4.7109375" style="21" bestFit="1" customWidth="1"/>
    <col min="9742" max="9982" width="8.85546875" style="21"/>
    <col min="9983" max="9983" width="80.85546875" style="21" bestFit="1" customWidth="1"/>
    <col min="9984" max="9984" width="8.42578125" style="21" bestFit="1" customWidth="1"/>
    <col min="9985" max="9985" width="12.85546875" style="21" bestFit="1" customWidth="1"/>
    <col min="9986" max="9986" width="13.140625" style="21" bestFit="1" customWidth="1"/>
    <col min="9987" max="9989" width="12.28515625" style="21" bestFit="1" customWidth="1"/>
    <col min="9990" max="9990" width="10.140625" style="21" bestFit="1" customWidth="1"/>
    <col min="9991" max="9991" width="11" style="21" bestFit="1" customWidth="1"/>
    <col min="9992" max="9993" width="12.28515625" style="21" bestFit="1" customWidth="1"/>
    <col min="9994" max="9994" width="10" style="21" bestFit="1" customWidth="1"/>
    <col min="9995" max="9995" width="1.42578125" style="21" bestFit="1" customWidth="1"/>
    <col min="9996" max="9996" width="0.28515625" style="21" bestFit="1" customWidth="1"/>
    <col min="9997" max="9997" width="4.7109375" style="21" bestFit="1" customWidth="1"/>
    <col min="9998" max="10238" width="8.85546875" style="21"/>
    <col min="10239" max="10239" width="80.85546875" style="21" bestFit="1" customWidth="1"/>
    <col min="10240" max="10240" width="8.42578125" style="21" bestFit="1" customWidth="1"/>
    <col min="10241" max="10241" width="12.85546875" style="21" bestFit="1" customWidth="1"/>
    <col min="10242" max="10242" width="13.140625" style="21" bestFit="1" customWidth="1"/>
    <col min="10243" max="10245" width="12.28515625" style="21" bestFit="1" customWidth="1"/>
    <col min="10246" max="10246" width="10.140625" style="21" bestFit="1" customWidth="1"/>
    <col min="10247" max="10247" width="11" style="21" bestFit="1" customWidth="1"/>
    <col min="10248" max="10249" width="12.28515625" style="21" bestFit="1" customWidth="1"/>
    <col min="10250" max="10250" width="10" style="21" bestFit="1" customWidth="1"/>
    <col min="10251" max="10251" width="1.42578125" style="21" bestFit="1" customWidth="1"/>
    <col min="10252" max="10252" width="0.28515625" style="21" bestFit="1" customWidth="1"/>
    <col min="10253" max="10253" width="4.7109375" style="21" bestFit="1" customWidth="1"/>
    <col min="10254" max="10494" width="8.85546875" style="21"/>
    <col min="10495" max="10495" width="80.85546875" style="21" bestFit="1" customWidth="1"/>
    <col min="10496" max="10496" width="8.42578125" style="21" bestFit="1" customWidth="1"/>
    <col min="10497" max="10497" width="12.85546875" style="21" bestFit="1" customWidth="1"/>
    <col min="10498" max="10498" width="13.140625" style="21" bestFit="1" customWidth="1"/>
    <col min="10499" max="10501" width="12.28515625" style="21" bestFit="1" customWidth="1"/>
    <col min="10502" max="10502" width="10.140625" style="21" bestFit="1" customWidth="1"/>
    <col min="10503" max="10503" width="11" style="21" bestFit="1" customWidth="1"/>
    <col min="10504" max="10505" width="12.28515625" style="21" bestFit="1" customWidth="1"/>
    <col min="10506" max="10506" width="10" style="21" bestFit="1" customWidth="1"/>
    <col min="10507" max="10507" width="1.42578125" style="21" bestFit="1" customWidth="1"/>
    <col min="10508" max="10508" width="0.28515625" style="21" bestFit="1" customWidth="1"/>
    <col min="10509" max="10509" width="4.7109375" style="21" bestFit="1" customWidth="1"/>
    <col min="10510" max="10750" width="8.85546875" style="21"/>
    <col min="10751" max="10751" width="80.85546875" style="21" bestFit="1" customWidth="1"/>
    <col min="10752" max="10752" width="8.42578125" style="21" bestFit="1" customWidth="1"/>
    <col min="10753" max="10753" width="12.85546875" style="21" bestFit="1" customWidth="1"/>
    <col min="10754" max="10754" width="13.140625" style="21" bestFit="1" customWidth="1"/>
    <col min="10755" max="10757" width="12.28515625" style="21" bestFit="1" customWidth="1"/>
    <col min="10758" max="10758" width="10.140625" style="21" bestFit="1" customWidth="1"/>
    <col min="10759" max="10759" width="11" style="21" bestFit="1" customWidth="1"/>
    <col min="10760" max="10761" width="12.28515625" style="21" bestFit="1" customWidth="1"/>
    <col min="10762" max="10762" width="10" style="21" bestFit="1" customWidth="1"/>
    <col min="10763" max="10763" width="1.42578125" style="21" bestFit="1" customWidth="1"/>
    <col min="10764" max="10764" width="0.28515625" style="21" bestFit="1" customWidth="1"/>
    <col min="10765" max="10765" width="4.7109375" style="21" bestFit="1" customWidth="1"/>
    <col min="10766" max="11006" width="8.85546875" style="21"/>
    <col min="11007" max="11007" width="80.85546875" style="21" bestFit="1" customWidth="1"/>
    <col min="11008" max="11008" width="8.42578125" style="21" bestFit="1" customWidth="1"/>
    <col min="11009" max="11009" width="12.85546875" style="21" bestFit="1" customWidth="1"/>
    <col min="11010" max="11010" width="13.140625" style="21" bestFit="1" customWidth="1"/>
    <col min="11011" max="11013" width="12.28515625" style="21" bestFit="1" customWidth="1"/>
    <col min="11014" max="11014" width="10.140625" style="21" bestFit="1" customWidth="1"/>
    <col min="11015" max="11015" width="11" style="21" bestFit="1" customWidth="1"/>
    <col min="11016" max="11017" width="12.28515625" style="21" bestFit="1" customWidth="1"/>
    <col min="11018" max="11018" width="10" style="21" bestFit="1" customWidth="1"/>
    <col min="11019" max="11019" width="1.42578125" style="21" bestFit="1" customWidth="1"/>
    <col min="11020" max="11020" width="0.28515625" style="21" bestFit="1" customWidth="1"/>
    <col min="11021" max="11021" width="4.7109375" style="21" bestFit="1" customWidth="1"/>
    <col min="11022" max="11262" width="8.85546875" style="21"/>
    <col min="11263" max="11263" width="80.85546875" style="21" bestFit="1" customWidth="1"/>
    <col min="11264" max="11264" width="8.42578125" style="21" bestFit="1" customWidth="1"/>
    <col min="11265" max="11265" width="12.85546875" style="21" bestFit="1" customWidth="1"/>
    <col min="11266" max="11266" width="13.140625" style="21" bestFit="1" customWidth="1"/>
    <col min="11267" max="11269" width="12.28515625" style="21" bestFit="1" customWidth="1"/>
    <col min="11270" max="11270" width="10.140625" style="21" bestFit="1" customWidth="1"/>
    <col min="11271" max="11271" width="11" style="21" bestFit="1" customWidth="1"/>
    <col min="11272" max="11273" width="12.28515625" style="21" bestFit="1" customWidth="1"/>
    <col min="11274" max="11274" width="10" style="21" bestFit="1" customWidth="1"/>
    <col min="11275" max="11275" width="1.42578125" style="21" bestFit="1" customWidth="1"/>
    <col min="11276" max="11276" width="0.28515625" style="21" bestFit="1" customWidth="1"/>
    <col min="11277" max="11277" width="4.7109375" style="21" bestFit="1" customWidth="1"/>
    <col min="11278" max="11518" width="8.85546875" style="21"/>
    <col min="11519" max="11519" width="80.85546875" style="21" bestFit="1" customWidth="1"/>
    <col min="11520" max="11520" width="8.42578125" style="21" bestFit="1" customWidth="1"/>
    <col min="11521" max="11521" width="12.85546875" style="21" bestFit="1" customWidth="1"/>
    <col min="11522" max="11522" width="13.140625" style="21" bestFit="1" customWidth="1"/>
    <col min="11523" max="11525" width="12.28515625" style="21" bestFit="1" customWidth="1"/>
    <col min="11526" max="11526" width="10.140625" style="21" bestFit="1" customWidth="1"/>
    <col min="11527" max="11527" width="11" style="21" bestFit="1" customWidth="1"/>
    <col min="11528" max="11529" width="12.28515625" style="21" bestFit="1" customWidth="1"/>
    <col min="11530" max="11530" width="10" style="21" bestFit="1" customWidth="1"/>
    <col min="11531" max="11531" width="1.42578125" style="21" bestFit="1" customWidth="1"/>
    <col min="11532" max="11532" width="0.28515625" style="21" bestFit="1" customWidth="1"/>
    <col min="11533" max="11533" width="4.7109375" style="21" bestFit="1" customWidth="1"/>
    <col min="11534" max="11774" width="8.85546875" style="21"/>
    <col min="11775" max="11775" width="80.85546875" style="21" bestFit="1" customWidth="1"/>
    <col min="11776" max="11776" width="8.42578125" style="21" bestFit="1" customWidth="1"/>
    <col min="11777" max="11777" width="12.85546875" style="21" bestFit="1" customWidth="1"/>
    <col min="11778" max="11778" width="13.140625" style="21" bestFit="1" customWidth="1"/>
    <col min="11779" max="11781" width="12.28515625" style="21" bestFit="1" customWidth="1"/>
    <col min="11782" max="11782" width="10.140625" style="21" bestFit="1" customWidth="1"/>
    <col min="11783" max="11783" width="11" style="21" bestFit="1" customWidth="1"/>
    <col min="11784" max="11785" width="12.28515625" style="21" bestFit="1" customWidth="1"/>
    <col min="11786" max="11786" width="10" style="21" bestFit="1" customWidth="1"/>
    <col min="11787" max="11787" width="1.42578125" style="21" bestFit="1" customWidth="1"/>
    <col min="11788" max="11788" width="0.28515625" style="21" bestFit="1" customWidth="1"/>
    <col min="11789" max="11789" width="4.7109375" style="21" bestFit="1" customWidth="1"/>
    <col min="11790" max="12030" width="8.85546875" style="21"/>
    <col min="12031" max="12031" width="80.85546875" style="21" bestFit="1" customWidth="1"/>
    <col min="12032" max="12032" width="8.42578125" style="21" bestFit="1" customWidth="1"/>
    <col min="12033" max="12033" width="12.85546875" style="21" bestFit="1" customWidth="1"/>
    <col min="12034" max="12034" width="13.140625" style="21" bestFit="1" customWidth="1"/>
    <col min="12035" max="12037" width="12.28515625" style="21" bestFit="1" customWidth="1"/>
    <col min="12038" max="12038" width="10.140625" style="21" bestFit="1" customWidth="1"/>
    <col min="12039" max="12039" width="11" style="21" bestFit="1" customWidth="1"/>
    <col min="12040" max="12041" width="12.28515625" style="21" bestFit="1" customWidth="1"/>
    <col min="12042" max="12042" width="10" style="21" bestFit="1" customWidth="1"/>
    <col min="12043" max="12043" width="1.42578125" style="21" bestFit="1" customWidth="1"/>
    <col min="12044" max="12044" width="0.28515625" style="21" bestFit="1" customWidth="1"/>
    <col min="12045" max="12045" width="4.7109375" style="21" bestFit="1" customWidth="1"/>
    <col min="12046" max="12286" width="8.85546875" style="21"/>
    <col min="12287" max="12287" width="80.85546875" style="21" bestFit="1" customWidth="1"/>
    <col min="12288" max="12288" width="8.42578125" style="21" bestFit="1" customWidth="1"/>
    <col min="12289" max="12289" width="12.85546875" style="21" bestFit="1" customWidth="1"/>
    <col min="12290" max="12290" width="13.140625" style="21" bestFit="1" customWidth="1"/>
    <col min="12291" max="12293" width="12.28515625" style="21" bestFit="1" customWidth="1"/>
    <col min="12294" max="12294" width="10.140625" style="21" bestFit="1" customWidth="1"/>
    <col min="12295" max="12295" width="11" style="21" bestFit="1" customWidth="1"/>
    <col min="12296" max="12297" width="12.28515625" style="21" bestFit="1" customWidth="1"/>
    <col min="12298" max="12298" width="10" style="21" bestFit="1" customWidth="1"/>
    <col min="12299" max="12299" width="1.42578125" style="21" bestFit="1" customWidth="1"/>
    <col min="12300" max="12300" width="0.28515625" style="21" bestFit="1" customWidth="1"/>
    <col min="12301" max="12301" width="4.7109375" style="21" bestFit="1" customWidth="1"/>
    <col min="12302" max="12542" width="8.85546875" style="21"/>
    <col min="12543" max="12543" width="80.85546875" style="21" bestFit="1" customWidth="1"/>
    <col min="12544" max="12544" width="8.42578125" style="21" bestFit="1" customWidth="1"/>
    <col min="12545" max="12545" width="12.85546875" style="21" bestFit="1" customWidth="1"/>
    <col min="12546" max="12546" width="13.140625" style="21" bestFit="1" customWidth="1"/>
    <col min="12547" max="12549" width="12.28515625" style="21" bestFit="1" customWidth="1"/>
    <col min="12550" max="12550" width="10.140625" style="21" bestFit="1" customWidth="1"/>
    <col min="12551" max="12551" width="11" style="21" bestFit="1" customWidth="1"/>
    <col min="12552" max="12553" width="12.28515625" style="21" bestFit="1" customWidth="1"/>
    <col min="12554" max="12554" width="10" style="21" bestFit="1" customWidth="1"/>
    <col min="12555" max="12555" width="1.42578125" style="21" bestFit="1" customWidth="1"/>
    <col min="12556" max="12556" width="0.28515625" style="21" bestFit="1" customWidth="1"/>
    <col min="12557" max="12557" width="4.7109375" style="21" bestFit="1" customWidth="1"/>
    <col min="12558" max="12798" width="8.85546875" style="21"/>
    <col min="12799" max="12799" width="80.85546875" style="21" bestFit="1" customWidth="1"/>
    <col min="12800" max="12800" width="8.42578125" style="21" bestFit="1" customWidth="1"/>
    <col min="12801" max="12801" width="12.85546875" style="21" bestFit="1" customWidth="1"/>
    <col min="12802" max="12802" width="13.140625" style="21" bestFit="1" customWidth="1"/>
    <col min="12803" max="12805" width="12.28515625" style="21" bestFit="1" customWidth="1"/>
    <col min="12806" max="12806" width="10.140625" style="21" bestFit="1" customWidth="1"/>
    <col min="12807" max="12807" width="11" style="21" bestFit="1" customWidth="1"/>
    <col min="12808" max="12809" width="12.28515625" style="21" bestFit="1" customWidth="1"/>
    <col min="12810" max="12810" width="10" style="21" bestFit="1" customWidth="1"/>
    <col min="12811" max="12811" width="1.42578125" style="21" bestFit="1" customWidth="1"/>
    <col min="12812" max="12812" width="0.28515625" style="21" bestFit="1" customWidth="1"/>
    <col min="12813" max="12813" width="4.7109375" style="21" bestFit="1" customWidth="1"/>
    <col min="12814" max="13054" width="8.85546875" style="21"/>
    <col min="13055" max="13055" width="80.85546875" style="21" bestFit="1" customWidth="1"/>
    <col min="13056" max="13056" width="8.42578125" style="21" bestFit="1" customWidth="1"/>
    <col min="13057" max="13057" width="12.85546875" style="21" bestFit="1" customWidth="1"/>
    <col min="13058" max="13058" width="13.140625" style="21" bestFit="1" customWidth="1"/>
    <col min="13059" max="13061" width="12.28515625" style="21" bestFit="1" customWidth="1"/>
    <col min="13062" max="13062" width="10.140625" style="21" bestFit="1" customWidth="1"/>
    <col min="13063" max="13063" width="11" style="21" bestFit="1" customWidth="1"/>
    <col min="13064" max="13065" width="12.28515625" style="21" bestFit="1" customWidth="1"/>
    <col min="13066" max="13066" width="10" style="21" bestFit="1" customWidth="1"/>
    <col min="13067" max="13067" width="1.42578125" style="21" bestFit="1" customWidth="1"/>
    <col min="13068" max="13068" width="0.28515625" style="21" bestFit="1" customWidth="1"/>
    <col min="13069" max="13069" width="4.7109375" style="21" bestFit="1" customWidth="1"/>
    <col min="13070" max="13310" width="8.85546875" style="21"/>
    <col min="13311" max="13311" width="80.85546875" style="21" bestFit="1" customWidth="1"/>
    <col min="13312" max="13312" width="8.42578125" style="21" bestFit="1" customWidth="1"/>
    <col min="13313" max="13313" width="12.85546875" style="21" bestFit="1" customWidth="1"/>
    <col min="13314" max="13314" width="13.140625" style="21" bestFit="1" customWidth="1"/>
    <col min="13315" max="13317" width="12.28515625" style="21" bestFit="1" customWidth="1"/>
    <col min="13318" max="13318" width="10.140625" style="21" bestFit="1" customWidth="1"/>
    <col min="13319" max="13319" width="11" style="21" bestFit="1" customWidth="1"/>
    <col min="13320" max="13321" width="12.28515625" style="21" bestFit="1" customWidth="1"/>
    <col min="13322" max="13322" width="10" style="21" bestFit="1" customWidth="1"/>
    <col min="13323" max="13323" width="1.42578125" style="21" bestFit="1" customWidth="1"/>
    <col min="13324" max="13324" width="0.28515625" style="21" bestFit="1" customWidth="1"/>
    <col min="13325" max="13325" width="4.7109375" style="21" bestFit="1" customWidth="1"/>
    <col min="13326" max="13566" width="8.85546875" style="21"/>
    <col min="13567" max="13567" width="80.85546875" style="21" bestFit="1" customWidth="1"/>
    <col min="13568" max="13568" width="8.42578125" style="21" bestFit="1" customWidth="1"/>
    <col min="13569" max="13569" width="12.85546875" style="21" bestFit="1" customWidth="1"/>
    <col min="13570" max="13570" width="13.140625" style="21" bestFit="1" customWidth="1"/>
    <col min="13571" max="13573" width="12.28515625" style="21" bestFit="1" customWidth="1"/>
    <col min="13574" max="13574" width="10.140625" style="21" bestFit="1" customWidth="1"/>
    <col min="13575" max="13575" width="11" style="21" bestFit="1" customWidth="1"/>
    <col min="13576" max="13577" width="12.28515625" style="21" bestFit="1" customWidth="1"/>
    <col min="13578" max="13578" width="10" style="21" bestFit="1" customWidth="1"/>
    <col min="13579" max="13579" width="1.42578125" style="21" bestFit="1" customWidth="1"/>
    <col min="13580" max="13580" width="0.28515625" style="21" bestFit="1" customWidth="1"/>
    <col min="13581" max="13581" width="4.7109375" style="21" bestFit="1" customWidth="1"/>
    <col min="13582" max="13822" width="8.85546875" style="21"/>
    <col min="13823" max="13823" width="80.85546875" style="21" bestFit="1" customWidth="1"/>
    <col min="13824" max="13824" width="8.42578125" style="21" bestFit="1" customWidth="1"/>
    <col min="13825" max="13825" width="12.85546875" style="21" bestFit="1" customWidth="1"/>
    <col min="13826" max="13826" width="13.140625" style="21" bestFit="1" customWidth="1"/>
    <col min="13827" max="13829" width="12.28515625" style="21" bestFit="1" customWidth="1"/>
    <col min="13830" max="13830" width="10.140625" style="21" bestFit="1" customWidth="1"/>
    <col min="13831" max="13831" width="11" style="21" bestFit="1" customWidth="1"/>
    <col min="13832" max="13833" width="12.28515625" style="21" bestFit="1" customWidth="1"/>
    <col min="13834" max="13834" width="10" style="21" bestFit="1" customWidth="1"/>
    <col min="13835" max="13835" width="1.42578125" style="21" bestFit="1" customWidth="1"/>
    <col min="13836" max="13836" width="0.28515625" style="21" bestFit="1" customWidth="1"/>
    <col min="13837" max="13837" width="4.7109375" style="21" bestFit="1" customWidth="1"/>
    <col min="13838" max="14078" width="8.85546875" style="21"/>
    <col min="14079" max="14079" width="80.85546875" style="21" bestFit="1" customWidth="1"/>
    <col min="14080" max="14080" width="8.42578125" style="21" bestFit="1" customWidth="1"/>
    <col min="14081" max="14081" width="12.85546875" style="21" bestFit="1" customWidth="1"/>
    <col min="14082" max="14082" width="13.140625" style="21" bestFit="1" customWidth="1"/>
    <col min="14083" max="14085" width="12.28515625" style="21" bestFit="1" customWidth="1"/>
    <col min="14086" max="14086" width="10.140625" style="21" bestFit="1" customWidth="1"/>
    <col min="14087" max="14087" width="11" style="21" bestFit="1" customWidth="1"/>
    <col min="14088" max="14089" width="12.28515625" style="21" bestFit="1" customWidth="1"/>
    <col min="14090" max="14090" width="10" style="21" bestFit="1" customWidth="1"/>
    <col min="14091" max="14091" width="1.42578125" style="21" bestFit="1" customWidth="1"/>
    <col min="14092" max="14092" width="0.28515625" style="21" bestFit="1" customWidth="1"/>
    <col min="14093" max="14093" width="4.7109375" style="21" bestFit="1" customWidth="1"/>
    <col min="14094" max="14334" width="8.85546875" style="21"/>
    <col min="14335" max="14335" width="80.85546875" style="21" bestFit="1" customWidth="1"/>
    <col min="14336" max="14336" width="8.42578125" style="21" bestFit="1" customWidth="1"/>
    <col min="14337" max="14337" width="12.85546875" style="21" bestFit="1" customWidth="1"/>
    <col min="14338" max="14338" width="13.140625" style="21" bestFit="1" customWidth="1"/>
    <col min="14339" max="14341" width="12.28515625" style="21" bestFit="1" customWidth="1"/>
    <col min="14342" max="14342" width="10.140625" style="21" bestFit="1" customWidth="1"/>
    <col min="14343" max="14343" width="11" style="21" bestFit="1" customWidth="1"/>
    <col min="14344" max="14345" width="12.28515625" style="21" bestFit="1" customWidth="1"/>
    <col min="14346" max="14346" width="10" style="21" bestFit="1" customWidth="1"/>
    <col min="14347" max="14347" width="1.42578125" style="21" bestFit="1" customWidth="1"/>
    <col min="14348" max="14348" width="0.28515625" style="21" bestFit="1" customWidth="1"/>
    <col min="14349" max="14349" width="4.7109375" style="21" bestFit="1" customWidth="1"/>
    <col min="14350" max="14590" width="8.85546875" style="21"/>
    <col min="14591" max="14591" width="80.85546875" style="21" bestFit="1" customWidth="1"/>
    <col min="14592" max="14592" width="8.42578125" style="21" bestFit="1" customWidth="1"/>
    <col min="14593" max="14593" width="12.85546875" style="21" bestFit="1" customWidth="1"/>
    <col min="14594" max="14594" width="13.140625" style="21" bestFit="1" customWidth="1"/>
    <col min="14595" max="14597" width="12.28515625" style="21" bestFit="1" customWidth="1"/>
    <col min="14598" max="14598" width="10.140625" style="21" bestFit="1" customWidth="1"/>
    <col min="14599" max="14599" width="11" style="21" bestFit="1" customWidth="1"/>
    <col min="14600" max="14601" width="12.28515625" style="21" bestFit="1" customWidth="1"/>
    <col min="14602" max="14602" width="10" style="21" bestFit="1" customWidth="1"/>
    <col min="14603" max="14603" width="1.42578125" style="21" bestFit="1" customWidth="1"/>
    <col min="14604" max="14604" width="0.28515625" style="21" bestFit="1" customWidth="1"/>
    <col min="14605" max="14605" width="4.7109375" style="21" bestFit="1" customWidth="1"/>
    <col min="14606" max="14846" width="8.85546875" style="21"/>
    <col min="14847" max="14847" width="80.85546875" style="21" bestFit="1" customWidth="1"/>
    <col min="14848" max="14848" width="8.42578125" style="21" bestFit="1" customWidth="1"/>
    <col min="14849" max="14849" width="12.85546875" style="21" bestFit="1" customWidth="1"/>
    <col min="14850" max="14850" width="13.140625" style="21" bestFit="1" customWidth="1"/>
    <col min="14851" max="14853" width="12.28515625" style="21" bestFit="1" customWidth="1"/>
    <col min="14854" max="14854" width="10.140625" style="21" bestFit="1" customWidth="1"/>
    <col min="14855" max="14855" width="11" style="21" bestFit="1" customWidth="1"/>
    <col min="14856" max="14857" width="12.28515625" style="21" bestFit="1" customWidth="1"/>
    <col min="14858" max="14858" width="10" style="21" bestFit="1" customWidth="1"/>
    <col min="14859" max="14859" width="1.42578125" style="21" bestFit="1" customWidth="1"/>
    <col min="14860" max="14860" width="0.28515625" style="21" bestFit="1" customWidth="1"/>
    <col min="14861" max="14861" width="4.7109375" style="21" bestFit="1" customWidth="1"/>
    <col min="14862" max="15102" width="8.85546875" style="21"/>
    <col min="15103" max="15103" width="80.85546875" style="21" bestFit="1" customWidth="1"/>
    <col min="15104" max="15104" width="8.42578125" style="21" bestFit="1" customWidth="1"/>
    <col min="15105" max="15105" width="12.85546875" style="21" bestFit="1" customWidth="1"/>
    <col min="15106" max="15106" width="13.140625" style="21" bestFit="1" customWidth="1"/>
    <col min="15107" max="15109" width="12.28515625" style="21" bestFit="1" customWidth="1"/>
    <col min="15110" max="15110" width="10.140625" style="21" bestFit="1" customWidth="1"/>
    <col min="15111" max="15111" width="11" style="21" bestFit="1" customWidth="1"/>
    <col min="15112" max="15113" width="12.28515625" style="21" bestFit="1" customWidth="1"/>
    <col min="15114" max="15114" width="10" style="21" bestFit="1" customWidth="1"/>
    <col min="15115" max="15115" width="1.42578125" style="21" bestFit="1" customWidth="1"/>
    <col min="15116" max="15116" width="0.28515625" style="21" bestFit="1" customWidth="1"/>
    <col min="15117" max="15117" width="4.7109375" style="21" bestFit="1" customWidth="1"/>
    <col min="15118" max="15358" width="8.85546875" style="21"/>
    <col min="15359" max="15359" width="80.85546875" style="21" bestFit="1" customWidth="1"/>
    <col min="15360" max="15360" width="8.42578125" style="21" bestFit="1" customWidth="1"/>
    <col min="15361" max="15361" width="12.85546875" style="21" bestFit="1" customWidth="1"/>
    <col min="15362" max="15362" width="13.140625" style="21" bestFit="1" customWidth="1"/>
    <col min="15363" max="15365" width="12.28515625" style="21" bestFit="1" customWidth="1"/>
    <col min="15366" max="15366" width="10.140625" style="21" bestFit="1" customWidth="1"/>
    <col min="15367" max="15367" width="11" style="21" bestFit="1" customWidth="1"/>
    <col min="15368" max="15369" width="12.28515625" style="21" bestFit="1" customWidth="1"/>
    <col min="15370" max="15370" width="10" style="21" bestFit="1" customWidth="1"/>
    <col min="15371" max="15371" width="1.42578125" style="21" bestFit="1" customWidth="1"/>
    <col min="15372" max="15372" width="0.28515625" style="21" bestFit="1" customWidth="1"/>
    <col min="15373" max="15373" width="4.7109375" style="21" bestFit="1" customWidth="1"/>
    <col min="15374" max="15614" width="8.85546875" style="21"/>
    <col min="15615" max="15615" width="80.85546875" style="21" bestFit="1" customWidth="1"/>
    <col min="15616" max="15616" width="8.42578125" style="21" bestFit="1" customWidth="1"/>
    <col min="15617" max="15617" width="12.85546875" style="21" bestFit="1" customWidth="1"/>
    <col min="15618" max="15618" width="13.140625" style="21" bestFit="1" customWidth="1"/>
    <col min="15619" max="15621" width="12.28515625" style="21" bestFit="1" customWidth="1"/>
    <col min="15622" max="15622" width="10.140625" style="21" bestFit="1" customWidth="1"/>
    <col min="15623" max="15623" width="11" style="21" bestFit="1" customWidth="1"/>
    <col min="15624" max="15625" width="12.28515625" style="21" bestFit="1" customWidth="1"/>
    <col min="15626" max="15626" width="10" style="21" bestFit="1" customWidth="1"/>
    <col min="15627" max="15627" width="1.42578125" style="21" bestFit="1" customWidth="1"/>
    <col min="15628" max="15628" width="0.28515625" style="21" bestFit="1" customWidth="1"/>
    <col min="15629" max="15629" width="4.7109375" style="21" bestFit="1" customWidth="1"/>
    <col min="15630" max="15870" width="8.85546875" style="21"/>
    <col min="15871" max="15871" width="80.85546875" style="21" bestFit="1" customWidth="1"/>
    <col min="15872" max="15872" width="8.42578125" style="21" bestFit="1" customWidth="1"/>
    <col min="15873" max="15873" width="12.85546875" style="21" bestFit="1" customWidth="1"/>
    <col min="15874" max="15874" width="13.140625" style="21" bestFit="1" customWidth="1"/>
    <col min="15875" max="15877" width="12.28515625" style="21" bestFit="1" customWidth="1"/>
    <col min="15878" max="15878" width="10.140625" style="21" bestFit="1" customWidth="1"/>
    <col min="15879" max="15879" width="11" style="21" bestFit="1" customWidth="1"/>
    <col min="15880" max="15881" width="12.28515625" style="21" bestFit="1" customWidth="1"/>
    <col min="15882" max="15882" width="10" style="21" bestFit="1" customWidth="1"/>
    <col min="15883" max="15883" width="1.42578125" style="21" bestFit="1" customWidth="1"/>
    <col min="15884" max="15884" width="0.28515625" style="21" bestFit="1" customWidth="1"/>
    <col min="15885" max="15885" width="4.7109375" style="21" bestFit="1" customWidth="1"/>
    <col min="15886" max="16126" width="8.85546875" style="21"/>
    <col min="16127" max="16127" width="80.85546875" style="21" bestFit="1" customWidth="1"/>
    <col min="16128" max="16128" width="8.42578125" style="21" bestFit="1" customWidth="1"/>
    <col min="16129" max="16129" width="12.85546875" style="21" bestFit="1" customWidth="1"/>
    <col min="16130" max="16130" width="13.140625" style="21" bestFit="1" customWidth="1"/>
    <col min="16131" max="16133" width="12.28515625" style="21" bestFit="1" customWidth="1"/>
    <col min="16134" max="16134" width="10.140625" style="21" bestFit="1" customWidth="1"/>
    <col min="16135" max="16135" width="11" style="21" bestFit="1" customWidth="1"/>
    <col min="16136" max="16137" width="12.28515625" style="21" bestFit="1" customWidth="1"/>
    <col min="16138" max="16138" width="10" style="21" bestFit="1" customWidth="1"/>
    <col min="16139" max="16139" width="1.42578125" style="21" bestFit="1" customWidth="1"/>
    <col min="16140" max="16140" width="0.28515625" style="21" bestFit="1" customWidth="1"/>
    <col min="16141" max="16141" width="4.7109375" style="21" bestFit="1" customWidth="1"/>
    <col min="16142" max="16384" width="8.85546875" style="21"/>
  </cols>
  <sheetData>
    <row r="1" spans="1:25" ht="15.75" customHeight="1">
      <c r="A1" s="389" t="s">
        <v>802</v>
      </c>
      <c r="H1" s="22"/>
      <c r="I1" s="22"/>
      <c r="J1" s="22"/>
      <c r="K1" s="22"/>
      <c r="L1" s="22"/>
      <c r="N1" s="22"/>
      <c r="O1" s="22"/>
      <c r="P1" s="22"/>
      <c r="Q1" s="22"/>
      <c r="R1" s="22"/>
      <c r="S1" s="22"/>
      <c r="T1" s="22"/>
      <c r="U1" s="22"/>
      <c r="V1" s="22"/>
      <c r="W1" s="22"/>
    </row>
    <row r="2" spans="1:25" s="22" customFormat="1" ht="18.75" customHeight="1">
      <c r="A2" s="1419" t="s">
        <v>803</v>
      </c>
      <c r="B2" s="1419" t="s">
        <v>804</v>
      </c>
      <c r="C2" s="1331" t="s">
        <v>805</v>
      </c>
      <c r="D2" s="1332"/>
      <c r="E2" s="1332"/>
      <c r="F2" s="1332"/>
      <c r="G2" s="1332"/>
      <c r="H2" s="1402" t="s">
        <v>806</v>
      </c>
      <c r="I2" s="1402"/>
      <c r="J2" s="1402"/>
      <c r="K2" s="1402"/>
      <c r="L2" s="1402"/>
    </row>
    <row r="3" spans="1:25" s="22" customFormat="1" ht="37.5" customHeight="1">
      <c r="A3" s="1420"/>
      <c r="B3" s="1420"/>
      <c r="C3" s="588" t="s">
        <v>1184</v>
      </c>
      <c r="D3" s="588" t="s">
        <v>1095</v>
      </c>
      <c r="E3" s="588" t="s">
        <v>1185</v>
      </c>
      <c r="F3" s="640" t="s">
        <v>807</v>
      </c>
      <c r="G3" s="640" t="s">
        <v>808</v>
      </c>
      <c r="H3" s="588" t="s">
        <v>1184</v>
      </c>
      <c r="I3" s="588" t="s">
        <v>1095</v>
      </c>
      <c r="J3" s="588" t="s">
        <v>1185</v>
      </c>
      <c r="K3" s="640" t="s">
        <v>807</v>
      </c>
      <c r="L3" s="640" t="s">
        <v>808</v>
      </c>
    </row>
    <row r="4" spans="1:25" s="22" customFormat="1" ht="18" customHeight="1">
      <c r="A4" s="589" t="s">
        <v>809</v>
      </c>
      <c r="B4" s="590" t="s">
        <v>810</v>
      </c>
      <c r="C4" s="591">
        <v>5654</v>
      </c>
      <c r="D4" s="591">
        <v>5654</v>
      </c>
      <c r="E4" s="591">
        <v>5625</v>
      </c>
      <c r="F4" s="641">
        <v>0.51555555600000003</v>
      </c>
      <c r="G4" s="641">
        <v>0</v>
      </c>
      <c r="H4" s="591">
        <v>5749</v>
      </c>
      <c r="I4" s="591">
        <v>5747</v>
      </c>
      <c r="J4" s="591">
        <v>5685</v>
      </c>
      <c r="K4" s="641">
        <v>1.1299999999999999</v>
      </c>
      <c r="L4" s="415">
        <v>0.03</v>
      </c>
      <c r="S4" s="592"/>
      <c r="T4" s="592"/>
      <c r="U4" s="592"/>
      <c r="V4" s="592"/>
      <c r="W4" s="592"/>
      <c r="X4" s="592"/>
      <c r="Y4" s="592"/>
    </row>
    <row r="5" spans="1:25" s="22" customFormat="1" ht="18" customHeight="1">
      <c r="A5" s="589" t="s">
        <v>811</v>
      </c>
      <c r="B5" s="590" t="s">
        <v>810</v>
      </c>
      <c r="C5" s="591">
        <v>280</v>
      </c>
      <c r="D5" s="591">
        <v>282</v>
      </c>
      <c r="E5" s="591">
        <v>278</v>
      </c>
      <c r="F5" s="641">
        <v>0.71942446000000004</v>
      </c>
      <c r="G5" s="641">
        <v>-0.70921985799999998</v>
      </c>
      <c r="H5" s="591">
        <v>592</v>
      </c>
      <c r="I5" s="591">
        <v>588</v>
      </c>
      <c r="J5" s="591">
        <v>597</v>
      </c>
      <c r="K5" s="641">
        <v>-0.84</v>
      </c>
      <c r="L5" s="415">
        <v>0.68</v>
      </c>
      <c r="S5" s="592"/>
      <c r="T5" s="592"/>
      <c r="U5" s="592"/>
      <c r="V5" s="592"/>
      <c r="W5" s="592"/>
      <c r="X5" s="592"/>
      <c r="Y5" s="592"/>
    </row>
    <row r="6" spans="1:25" s="22" customFormat="1" ht="18" customHeight="1">
      <c r="A6" s="589" t="s">
        <v>1091</v>
      </c>
      <c r="B6" s="590" t="s">
        <v>810</v>
      </c>
      <c r="C6" s="591">
        <v>4</v>
      </c>
      <c r="D6" s="591">
        <v>4</v>
      </c>
      <c r="E6" s="591">
        <v>3</v>
      </c>
      <c r="F6" s="641">
        <v>33.333333332999999</v>
      </c>
      <c r="G6" s="641">
        <v>0</v>
      </c>
      <c r="H6" s="591">
        <v>3</v>
      </c>
      <c r="I6" s="591">
        <v>3</v>
      </c>
      <c r="J6" s="591">
        <v>3</v>
      </c>
      <c r="K6" s="641">
        <v>54.52</v>
      </c>
      <c r="L6" s="415">
        <v>4.4800000000000004</v>
      </c>
      <c r="S6" s="592"/>
      <c r="T6" s="592"/>
      <c r="U6" s="592"/>
      <c r="V6" s="592"/>
      <c r="W6" s="592"/>
      <c r="X6" s="592"/>
      <c r="Y6" s="592"/>
    </row>
    <row r="7" spans="1:25" s="22" customFormat="1" ht="18" customHeight="1">
      <c r="A7" s="589" t="s">
        <v>812</v>
      </c>
      <c r="B7" s="590" t="s">
        <v>813</v>
      </c>
      <c r="C7" s="591">
        <v>213.46</v>
      </c>
      <c r="D7" s="591">
        <v>211.09</v>
      </c>
      <c r="E7" s="591">
        <v>194.42580000000001</v>
      </c>
      <c r="F7" s="641">
        <v>9.7899558599999992</v>
      </c>
      <c r="G7" s="641">
        <v>1.122743853</v>
      </c>
      <c r="H7" s="591">
        <v>317.73298999999997</v>
      </c>
      <c r="I7" s="591">
        <v>304.09584999999998</v>
      </c>
      <c r="J7" s="591">
        <v>205.63</v>
      </c>
      <c r="K7" s="641">
        <v>54.516845790983794</v>
      </c>
      <c r="L7" s="415">
        <v>4.4844873746221747</v>
      </c>
      <c r="S7" s="592"/>
      <c r="T7" s="592"/>
      <c r="U7" s="592"/>
      <c r="V7" s="592"/>
      <c r="W7" s="592"/>
      <c r="X7" s="592"/>
      <c r="Y7" s="592"/>
    </row>
    <row r="8" spans="1:25" s="22" customFormat="1" ht="18" customHeight="1">
      <c r="A8" s="589" t="s">
        <v>814</v>
      </c>
      <c r="B8" s="590" t="s">
        <v>815</v>
      </c>
      <c r="C8" s="591">
        <v>57058.368756000003</v>
      </c>
      <c r="D8" s="591">
        <v>56955.173916699998</v>
      </c>
      <c r="E8" s="591">
        <v>54117.014078300002</v>
      </c>
      <c r="F8" s="641">
        <v>5.4351754760000004</v>
      </c>
      <c r="G8" s="641">
        <v>0.18118606700000001</v>
      </c>
      <c r="H8" s="591">
        <v>23748.915195900001</v>
      </c>
      <c r="I8" s="591">
        <v>23719.350141399998</v>
      </c>
      <c r="J8" s="591">
        <v>23307.243196899999</v>
      </c>
      <c r="K8" s="641">
        <v>1.8949988862635925</v>
      </c>
      <c r="L8" s="415">
        <v>0.12464529729420974</v>
      </c>
      <c r="S8" s="592"/>
      <c r="T8" s="592"/>
      <c r="U8" s="592"/>
      <c r="V8" s="592"/>
      <c r="W8" s="592"/>
      <c r="X8" s="592"/>
      <c r="Y8" s="592"/>
    </row>
    <row r="9" spans="1:25" s="22" customFormat="1" ht="18" customHeight="1">
      <c r="A9" s="589" t="s">
        <v>816</v>
      </c>
      <c r="B9" s="590" t="s">
        <v>815</v>
      </c>
      <c r="C9" s="642">
        <v>17470906.348407902</v>
      </c>
      <c r="D9" s="642">
        <v>16255599.7943245</v>
      </c>
      <c r="E9" s="642">
        <v>12792910.4651898</v>
      </c>
      <c r="F9" s="641">
        <v>36.567096251999999</v>
      </c>
      <c r="G9" s="641">
        <v>7.4762332330000003</v>
      </c>
      <c r="H9" s="591">
        <v>2412607.1184999999</v>
      </c>
      <c r="I9" s="591">
        <v>2125800.3166999999</v>
      </c>
      <c r="J9" s="591">
        <v>1687988.3555000001</v>
      </c>
      <c r="K9" s="641">
        <v>42.927947970669507</v>
      </c>
      <c r="L9" s="415">
        <v>13.491709430414728</v>
      </c>
      <c r="S9" s="592"/>
      <c r="T9" s="592"/>
      <c r="U9" s="592"/>
      <c r="V9" s="592"/>
      <c r="W9" s="592"/>
      <c r="X9" s="592"/>
      <c r="Y9" s="592"/>
    </row>
    <row r="10" spans="1:25" s="22" customFormat="1" ht="18" customHeight="1">
      <c r="A10" s="589" t="s">
        <v>817</v>
      </c>
      <c r="B10" s="590" t="s">
        <v>815</v>
      </c>
      <c r="C10" s="591">
        <v>61515.168495421</v>
      </c>
      <c r="D10" s="591">
        <v>61431.525479322998</v>
      </c>
      <c r="E10" s="591">
        <v>58972.200079952003</v>
      </c>
      <c r="F10" s="641">
        <v>4.3121477779999999</v>
      </c>
      <c r="G10" s="641">
        <v>0.13615650200000001</v>
      </c>
      <c r="H10" s="591">
        <v>26376.247268154599</v>
      </c>
      <c r="I10" s="591">
        <v>26297.132617203493</v>
      </c>
      <c r="J10" s="591">
        <v>25635.8476778568</v>
      </c>
      <c r="K10" s="641">
        <v>2.8881416351109213</v>
      </c>
      <c r="L10" s="415">
        <v>0.30084896365982089</v>
      </c>
      <c r="S10" s="592"/>
      <c r="T10" s="592"/>
      <c r="U10" s="592"/>
      <c r="V10" s="592"/>
      <c r="W10" s="592"/>
      <c r="X10" s="592"/>
      <c r="Y10" s="592"/>
    </row>
    <row r="11" spans="1:25" s="22" customFormat="1" ht="18" customHeight="1">
      <c r="A11" s="589" t="s">
        <v>818</v>
      </c>
      <c r="B11" s="590" t="s">
        <v>815</v>
      </c>
      <c r="C11" s="642">
        <v>21014588.216226902</v>
      </c>
      <c r="D11" s="642">
        <v>19818930.9073244</v>
      </c>
      <c r="E11" s="642">
        <v>16055668.0331067</v>
      </c>
      <c r="F11" s="641">
        <v>30.885791690000001</v>
      </c>
      <c r="G11" s="641">
        <v>6.032905178</v>
      </c>
      <c r="H11" s="591">
        <v>2615540.4580999999</v>
      </c>
      <c r="I11" s="591">
        <v>2320030.7936999993</v>
      </c>
      <c r="J11" s="591">
        <v>1839728.3925000001</v>
      </c>
      <c r="K11" s="641">
        <v>42.169924036762389</v>
      </c>
      <c r="L11" s="415">
        <v>12.737316470214601</v>
      </c>
      <c r="S11" s="592"/>
      <c r="T11" s="592"/>
      <c r="U11" s="592"/>
      <c r="V11" s="592"/>
      <c r="W11" s="592"/>
      <c r="X11" s="592"/>
      <c r="Y11" s="592"/>
    </row>
    <row r="12" spans="1:25" s="22" customFormat="1" ht="18" customHeight="1">
      <c r="A12" s="589" t="s">
        <v>819</v>
      </c>
      <c r="B12" s="590" t="s">
        <v>815</v>
      </c>
      <c r="C12" s="591">
        <v>1631.9923931000001</v>
      </c>
      <c r="D12" s="591">
        <v>1917.2611356</v>
      </c>
      <c r="E12" s="591">
        <v>1025.845632</v>
      </c>
      <c r="F12" s="641">
        <v>59.087521766999998</v>
      </c>
      <c r="G12" s="641">
        <v>-14.878971738000001</v>
      </c>
      <c r="H12" s="591">
        <v>2062.2473461</v>
      </c>
      <c r="I12" s="591">
        <v>2512.4155307999999</v>
      </c>
      <c r="J12" s="591">
        <v>851.88012780000008</v>
      </c>
      <c r="K12" s="641">
        <v>142.08187030090735</v>
      </c>
      <c r="L12" s="415">
        <v>-17.917744066669499</v>
      </c>
      <c r="S12" s="592"/>
      <c r="T12" s="592"/>
      <c r="U12" s="592"/>
      <c r="V12" s="592"/>
      <c r="W12" s="592"/>
      <c r="X12" s="592"/>
      <c r="Y12" s="592"/>
    </row>
    <row r="13" spans="1:25" s="22" customFormat="1" ht="18" customHeight="1">
      <c r="A13" s="589" t="s">
        <v>820</v>
      </c>
      <c r="B13" s="590" t="s">
        <v>815</v>
      </c>
      <c r="C13" s="591">
        <v>85.894336479000003</v>
      </c>
      <c r="D13" s="591">
        <v>95.863056779999994</v>
      </c>
      <c r="E13" s="591">
        <v>53.991875368000002</v>
      </c>
      <c r="F13" s="641">
        <v>59.087521766999998</v>
      </c>
      <c r="G13" s="641">
        <v>-10.398917618</v>
      </c>
      <c r="H13" s="591">
        <v>108.53933400526316</v>
      </c>
      <c r="I13" s="591">
        <v>125.62077653999999</v>
      </c>
      <c r="J13" s="591">
        <v>29.375176820689656</v>
      </c>
      <c r="K13" s="641">
        <v>269.49338098559548</v>
      </c>
      <c r="L13" s="415">
        <v>-13.59762533333631</v>
      </c>
      <c r="S13" s="592"/>
      <c r="T13" s="592"/>
      <c r="U13" s="592"/>
      <c r="V13" s="592"/>
      <c r="W13" s="592"/>
      <c r="X13" s="592"/>
      <c r="Y13" s="592"/>
    </row>
    <row r="14" spans="1:25" s="22" customFormat="1" ht="18" customHeight="1">
      <c r="A14" s="589" t="s">
        <v>821</v>
      </c>
      <c r="B14" s="590" t="s">
        <v>815</v>
      </c>
      <c r="C14" s="593">
        <v>456253.30663180503</v>
      </c>
      <c r="D14" s="593">
        <v>470740.23372346099</v>
      </c>
      <c r="E14" s="593">
        <v>254859.066060282</v>
      </c>
      <c r="F14" s="641">
        <v>79.021807496999998</v>
      </c>
      <c r="G14" s="641">
        <v>-3.0774779919999999</v>
      </c>
      <c r="H14" s="591">
        <v>216090.85403604002</v>
      </c>
      <c r="I14" s="591">
        <v>194492.19305502</v>
      </c>
      <c r="J14" s="591">
        <v>75151.647785020017</v>
      </c>
      <c r="K14" s="641">
        <v>187.53974184863242</v>
      </c>
      <c r="L14" s="415">
        <v>11.105155760627348</v>
      </c>
      <c r="S14" s="592"/>
      <c r="T14" s="592"/>
      <c r="U14" s="592"/>
      <c r="V14" s="592"/>
      <c r="W14" s="592"/>
      <c r="X14" s="592"/>
      <c r="Y14" s="592"/>
    </row>
    <row r="15" spans="1:25" s="22" customFormat="1" ht="18" customHeight="1">
      <c r="A15" s="589" t="s">
        <v>822</v>
      </c>
      <c r="B15" s="590" t="s">
        <v>815</v>
      </c>
      <c r="C15" s="591">
        <v>24013.331927989999</v>
      </c>
      <c r="D15" s="591">
        <v>23537.011686172998</v>
      </c>
      <c r="E15" s="591">
        <v>13413.635055803999</v>
      </c>
      <c r="F15" s="641">
        <v>79.021807496999998</v>
      </c>
      <c r="G15" s="641">
        <v>2.023707377</v>
      </c>
      <c r="H15" s="591">
        <v>11373.202844002106</v>
      </c>
      <c r="I15" s="591">
        <v>9724.6096527509999</v>
      </c>
      <c r="J15" s="591">
        <v>2591.4361305179318</v>
      </c>
      <c r="K15" s="641">
        <v>338.87644808475466</v>
      </c>
      <c r="L15" s="415">
        <v>16.952795537502471</v>
      </c>
      <c r="S15" s="592"/>
      <c r="T15" s="592"/>
      <c r="U15" s="592"/>
      <c r="V15" s="592"/>
      <c r="W15" s="592"/>
      <c r="X15" s="592"/>
      <c r="Y15" s="592"/>
    </row>
    <row r="16" spans="1:25" s="22" customFormat="1" ht="18" customHeight="1">
      <c r="A16" s="589" t="s">
        <v>823</v>
      </c>
      <c r="B16" s="590" t="s">
        <v>810</v>
      </c>
      <c r="C16" s="591">
        <v>1</v>
      </c>
      <c r="D16" s="591">
        <v>1</v>
      </c>
      <c r="E16" s="591">
        <v>6</v>
      </c>
      <c r="F16" s="641">
        <v>-83.333333332999999</v>
      </c>
      <c r="G16" s="641">
        <v>0</v>
      </c>
      <c r="H16" s="591">
        <v>2</v>
      </c>
      <c r="I16" s="591">
        <v>2</v>
      </c>
      <c r="J16" s="591">
        <v>880</v>
      </c>
      <c r="K16" s="641">
        <v>-99.772727272727266</v>
      </c>
      <c r="L16" s="415">
        <v>0</v>
      </c>
      <c r="S16" s="592"/>
      <c r="T16" s="592"/>
      <c r="U16" s="592"/>
      <c r="V16" s="592"/>
      <c r="W16" s="592"/>
      <c r="X16" s="592"/>
      <c r="Y16" s="592"/>
    </row>
    <row r="17" spans="1:25" s="22" customFormat="1" ht="18" customHeight="1">
      <c r="A17" s="589" t="s">
        <v>824</v>
      </c>
      <c r="B17" s="590" t="s">
        <v>825</v>
      </c>
      <c r="C17" s="591">
        <v>86.02</v>
      </c>
      <c r="D17" s="591">
        <v>86.46</v>
      </c>
      <c r="E17" s="591">
        <v>87.139760136000007</v>
      </c>
      <c r="F17" s="641">
        <v>-1.2850163160000001</v>
      </c>
      <c r="G17" s="1176">
        <v>-0.50890585200000005</v>
      </c>
      <c r="H17" s="591">
        <v>12.103492552575799</v>
      </c>
      <c r="I17" s="591">
        <v>11.52</v>
      </c>
      <c r="J17" s="591">
        <v>11.52</v>
      </c>
      <c r="K17" s="641">
        <v>5.0650395188871524</v>
      </c>
      <c r="L17" s="415">
        <v>5.0650395188871524</v>
      </c>
      <c r="S17" s="592"/>
      <c r="T17" s="592"/>
      <c r="U17" s="592"/>
      <c r="V17" s="592"/>
      <c r="W17" s="592"/>
      <c r="X17" s="592"/>
      <c r="Y17" s="592"/>
    </row>
    <row r="18" spans="1:25">
      <c r="A18" s="643" t="s">
        <v>545</v>
      </c>
      <c r="B18" s="594"/>
      <c r="C18" s="594"/>
      <c r="D18" s="594"/>
      <c r="E18" s="594"/>
      <c r="F18" s="594"/>
      <c r="G18" s="594"/>
      <c r="H18" s="1173"/>
      <c r="I18" s="1173"/>
      <c r="J18" s="1173"/>
      <c r="K18" s="1174"/>
      <c r="L18" s="1175"/>
      <c r="N18" s="22"/>
      <c r="O18" s="22"/>
      <c r="P18" s="22"/>
      <c r="Q18" s="22"/>
      <c r="R18" s="22"/>
      <c r="S18" s="22"/>
      <c r="T18" s="22"/>
      <c r="U18" s="22"/>
      <c r="V18" s="22"/>
      <c r="W18" s="22"/>
      <c r="X18" s="22"/>
    </row>
    <row r="19" spans="1:25">
      <c r="A19" s="644" t="s">
        <v>826</v>
      </c>
      <c r="B19" s="393"/>
      <c r="C19" s="393"/>
      <c r="D19" s="393"/>
      <c r="E19" s="393"/>
      <c r="F19" s="393"/>
      <c r="G19" s="393"/>
      <c r="H19" s="393"/>
      <c r="I19" s="393"/>
      <c r="J19" s="393"/>
      <c r="K19" s="393"/>
      <c r="L19" s="393"/>
      <c r="N19" s="22"/>
      <c r="O19" s="22"/>
      <c r="P19" s="22"/>
      <c r="Q19" s="22"/>
      <c r="R19" s="22"/>
      <c r="S19" s="22"/>
      <c r="T19" s="22"/>
      <c r="U19" s="22"/>
      <c r="V19" s="22"/>
      <c r="W19" s="22"/>
      <c r="X19" s="22"/>
    </row>
    <row r="20" spans="1:25">
      <c r="A20" s="645" t="s">
        <v>1092</v>
      </c>
      <c r="B20" s="595"/>
      <c r="C20" s="596"/>
      <c r="D20" s="597"/>
      <c r="E20" s="597"/>
    </row>
    <row r="21" spans="1:25">
      <c r="A21" s="644" t="s">
        <v>827</v>
      </c>
      <c r="B21" s="393"/>
      <c r="C21" s="393"/>
      <c r="D21" s="393"/>
      <c r="E21" s="393"/>
      <c r="F21" s="393"/>
      <c r="G21" s="393"/>
      <c r="H21" s="393"/>
      <c r="I21" s="393"/>
      <c r="J21" s="393"/>
      <c r="K21" s="393"/>
      <c r="L21" s="393"/>
    </row>
    <row r="22" spans="1:25">
      <c r="A22" s="644" t="s">
        <v>828</v>
      </c>
      <c r="B22" s="393"/>
      <c r="C22" s="393"/>
      <c r="D22" s="393"/>
      <c r="E22" s="393"/>
      <c r="F22" s="393"/>
      <c r="G22" s="393"/>
      <c r="H22" s="393"/>
      <c r="I22" s="393"/>
      <c r="J22" s="393"/>
      <c r="K22" s="393"/>
      <c r="L22" s="393"/>
    </row>
    <row r="23" spans="1:25">
      <c r="A23" s="645" t="s">
        <v>1093</v>
      </c>
      <c r="B23" s="595"/>
      <c r="C23" s="596"/>
      <c r="D23" s="597"/>
      <c r="E23" s="597"/>
    </row>
    <row r="24" spans="1:25">
      <c r="A24" s="645" t="s">
        <v>1094</v>
      </c>
      <c r="B24" s="595"/>
      <c r="C24" s="596"/>
      <c r="D24" s="597"/>
      <c r="E24" s="597"/>
    </row>
    <row r="25" spans="1:25">
      <c r="A25" s="646" t="s">
        <v>1182</v>
      </c>
    </row>
    <row r="26" spans="1:25">
      <c r="A26" s="647" t="s">
        <v>829</v>
      </c>
    </row>
    <row r="27" spans="1:25">
      <c r="B27" s="87"/>
      <c r="C27" s="87"/>
      <c r="D27" s="87"/>
      <c r="E27" s="87"/>
      <c r="F27" s="87"/>
      <c r="G27" s="87"/>
      <c r="H27" s="22"/>
      <c r="I27" s="22"/>
      <c r="J27" s="22"/>
      <c r="K27" s="22"/>
      <c r="L27" s="22"/>
    </row>
    <row r="28" spans="1:25">
      <c r="B28" s="88"/>
      <c r="C28" s="88"/>
      <c r="D28" s="88"/>
      <c r="E28" s="88"/>
      <c r="F28" s="88"/>
      <c r="G28" s="88"/>
      <c r="H28" s="88"/>
      <c r="I28" s="88"/>
      <c r="J28" s="88"/>
      <c r="K28" s="88"/>
      <c r="L28" s="88"/>
    </row>
    <row r="49" spans="14:18">
      <c r="N49" s="598"/>
      <c r="O49" s="598"/>
      <c r="P49" s="598"/>
      <c r="Q49" s="598"/>
      <c r="R49" s="598"/>
    </row>
  </sheetData>
  <mergeCells count="4">
    <mergeCell ref="A2:A3"/>
    <mergeCell ref="B2:B3"/>
    <mergeCell ref="C2:G2"/>
    <mergeCell ref="H2:L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9"/>
  <sheetViews>
    <sheetView workbookViewId="0">
      <selection activeCell="K21" sqref="K21"/>
    </sheetView>
  </sheetViews>
  <sheetFormatPr defaultColWidth="8.85546875" defaultRowHeight="15"/>
  <cols>
    <col min="1" max="1" width="14.7109375" style="338" bestFit="1" customWidth="1"/>
    <col min="2" max="11" width="10.85546875" style="338" customWidth="1"/>
    <col min="12" max="12" width="4.7109375" style="338" bestFit="1" customWidth="1"/>
    <col min="13" max="256" width="8.85546875" style="338"/>
    <col min="257" max="261" width="14.7109375" style="338" bestFit="1" customWidth="1"/>
    <col min="262" max="262" width="14.140625" style="338" bestFit="1" customWidth="1"/>
    <col min="263" max="265" width="14.7109375" style="338" bestFit="1" customWidth="1"/>
    <col min="266" max="266" width="9.85546875" style="338" bestFit="1" customWidth="1"/>
    <col min="267" max="267" width="19.42578125" style="338" bestFit="1" customWidth="1"/>
    <col min="268" max="268" width="4.7109375" style="338" bestFit="1" customWidth="1"/>
    <col min="269" max="512" width="8.85546875" style="338"/>
    <col min="513" max="517" width="14.7109375" style="338" bestFit="1" customWidth="1"/>
    <col min="518" max="518" width="14.140625" style="338" bestFit="1" customWidth="1"/>
    <col min="519" max="521" width="14.7109375" style="338" bestFit="1" customWidth="1"/>
    <col min="522" max="522" width="9.85546875" style="338" bestFit="1" customWidth="1"/>
    <col min="523" max="523" width="19.42578125" style="338" bestFit="1" customWidth="1"/>
    <col min="524" max="524" width="4.7109375" style="338" bestFit="1" customWidth="1"/>
    <col min="525" max="768" width="8.85546875" style="338"/>
    <col min="769" max="773" width="14.7109375" style="338" bestFit="1" customWidth="1"/>
    <col min="774" max="774" width="14.140625" style="338" bestFit="1" customWidth="1"/>
    <col min="775" max="777" width="14.7109375" style="338" bestFit="1" customWidth="1"/>
    <col min="778" max="778" width="9.85546875" style="338" bestFit="1" customWidth="1"/>
    <col min="779" max="779" width="19.42578125" style="338" bestFit="1" customWidth="1"/>
    <col min="780" max="780" width="4.7109375" style="338" bestFit="1" customWidth="1"/>
    <col min="781" max="1024" width="8.85546875" style="338"/>
    <col min="1025" max="1029" width="14.7109375" style="338" bestFit="1" customWidth="1"/>
    <col min="1030" max="1030" width="14.140625" style="338" bestFit="1" customWidth="1"/>
    <col min="1031" max="1033" width="14.7109375" style="338" bestFit="1" customWidth="1"/>
    <col min="1034" max="1034" width="9.85546875" style="338" bestFit="1" customWidth="1"/>
    <col min="1035" max="1035" width="19.42578125" style="338" bestFit="1" customWidth="1"/>
    <col min="1036" max="1036" width="4.7109375" style="338" bestFit="1" customWidth="1"/>
    <col min="1037" max="1280" width="8.85546875" style="338"/>
    <col min="1281" max="1285" width="14.7109375" style="338" bestFit="1" customWidth="1"/>
    <col min="1286" max="1286" width="14.140625" style="338" bestFit="1" customWidth="1"/>
    <col min="1287" max="1289" width="14.7109375" style="338" bestFit="1" customWidth="1"/>
    <col min="1290" max="1290" width="9.85546875" style="338" bestFit="1" customWidth="1"/>
    <col min="1291" max="1291" width="19.42578125" style="338" bestFit="1" customWidth="1"/>
    <col min="1292" max="1292" width="4.7109375" style="338" bestFit="1" customWidth="1"/>
    <col min="1293" max="1536" width="8.85546875" style="338"/>
    <col min="1537" max="1541" width="14.7109375" style="338" bestFit="1" customWidth="1"/>
    <col min="1542" max="1542" width="14.140625" style="338" bestFit="1" customWidth="1"/>
    <col min="1543" max="1545" width="14.7109375" style="338" bestFit="1" customWidth="1"/>
    <col min="1546" max="1546" width="9.85546875" style="338" bestFit="1" customWidth="1"/>
    <col min="1547" max="1547" width="19.42578125" style="338" bestFit="1" customWidth="1"/>
    <col min="1548" max="1548" width="4.7109375" style="338" bestFit="1" customWidth="1"/>
    <col min="1549" max="1792" width="8.85546875" style="338"/>
    <col min="1793" max="1797" width="14.7109375" style="338" bestFit="1" customWidth="1"/>
    <col min="1798" max="1798" width="14.140625" style="338" bestFit="1" customWidth="1"/>
    <col min="1799" max="1801" width="14.7109375" style="338" bestFit="1" customWidth="1"/>
    <col min="1802" max="1802" width="9.85546875" style="338" bestFit="1" customWidth="1"/>
    <col min="1803" max="1803" width="19.42578125" style="338" bestFit="1" customWidth="1"/>
    <col min="1804" max="1804" width="4.7109375" style="338" bestFit="1" customWidth="1"/>
    <col min="1805" max="2048" width="8.85546875" style="338"/>
    <col min="2049" max="2053" width="14.7109375" style="338" bestFit="1" customWidth="1"/>
    <col min="2054" max="2054" width="14.140625" style="338" bestFit="1" customWidth="1"/>
    <col min="2055" max="2057" width="14.7109375" style="338" bestFit="1" customWidth="1"/>
    <col min="2058" max="2058" width="9.85546875" style="338" bestFit="1" customWidth="1"/>
    <col min="2059" max="2059" width="19.42578125" style="338" bestFit="1" customWidth="1"/>
    <col min="2060" max="2060" width="4.7109375" style="338" bestFit="1" customWidth="1"/>
    <col min="2061" max="2304" width="8.85546875" style="338"/>
    <col min="2305" max="2309" width="14.7109375" style="338" bestFit="1" customWidth="1"/>
    <col min="2310" max="2310" width="14.140625" style="338" bestFit="1" customWidth="1"/>
    <col min="2311" max="2313" width="14.7109375" style="338" bestFit="1" customWidth="1"/>
    <col min="2314" max="2314" width="9.85546875" style="338" bestFit="1" customWidth="1"/>
    <col min="2315" max="2315" width="19.42578125" style="338" bestFit="1" customWidth="1"/>
    <col min="2316" max="2316" width="4.7109375" style="338" bestFit="1" customWidth="1"/>
    <col min="2317" max="2560" width="8.85546875" style="338"/>
    <col min="2561" max="2565" width="14.7109375" style="338" bestFit="1" customWidth="1"/>
    <col min="2566" max="2566" width="14.140625" style="338" bestFit="1" customWidth="1"/>
    <col min="2567" max="2569" width="14.7109375" style="338" bestFit="1" customWidth="1"/>
    <col min="2570" max="2570" width="9.85546875" style="338" bestFit="1" customWidth="1"/>
    <col min="2571" max="2571" width="19.42578125" style="338" bestFit="1" customWidth="1"/>
    <col min="2572" max="2572" width="4.7109375" style="338" bestFit="1" customWidth="1"/>
    <col min="2573" max="2816" width="8.85546875" style="338"/>
    <col min="2817" max="2821" width="14.7109375" style="338" bestFit="1" customWidth="1"/>
    <col min="2822" max="2822" width="14.140625" style="338" bestFit="1" customWidth="1"/>
    <col min="2823" max="2825" width="14.7109375" style="338" bestFit="1" customWidth="1"/>
    <col min="2826" max="2826" width="9.85546875" style="338" bestFit="1" customWidth="1"/>
    <col min="2827" max="2827" width="19.42578125" style="338" bestFit="1" customWidth="1"/>
    <col min="2828" max="2828" width="4.7109375" style="338" bestFit="1" customWidth="1"/>
    <col min="2829" max="3072" width="8.85546875" style="338"/>
    <col min="3073" max="3077" width="14.7109375" style="338" bestFit="1" customWidth="1"/>
    <col min="3078" max="3078" width="14.140625" style="338" bestFit="1" customWidth="1"/>
    <col min="3079" max="3081" width="14.7109375" style="338" bestFit="1" customWidth="1"/>
    <col min="3082" max="3082" width="9.85546875" style="338" bestFit="1" customWidth="1"/>
    <col min="3083" max="3083" width="19.42578125" style="338" bestFit="1" customWidth="1"/>
    <col min="3084" max="3084" width="4.7109375" style="338" bestFit="1" customWidth="1"/>
    <col min="3085" max="3328" width="8.85546875" style="338"/>
    <col min="3329" max="3333" width="14.7109375" style="338" bestFit="1" customWidth="1"/>
    <col min="3334" max="3334" width="14.140625" style="338" bestFit="1" customWidth="1"/>
    <col min="3335" max="3337" width="14.7109375" style="338" bestFit="1" customWidth="1"/>
    <col min="3338" max="3338" width="9.85546875" style="338" bestFit="1" customWidth="1"/>
    <col min="3339" max="3339" width="19.42578125" style="338" bestFit="1" customWidth="1"/>
    <col min="3340" max="3340" width="4.7109375" style="338" bestFit="1" customWidth="1"/>
    <col min="3341" max="3584" width="8.85546875" style="338"/>
    <col min="3585" max="3589" width="14.7109375" style="338" bestFit="1" customWidth="1"/>
    <col min="3590" max="3590" width="14.140625" style="338" bestFit="1" customWidth="1"/>
    <col min="3591" max="3593" width="14.7109375" style="338" bestFit="1" customWidth="1"/>
    <col min="3594" max="3594" width="9.85546875" style="338" bestFit="1" customWidth="1"/>
    <col min="3595" max="3595" width="19.42578125" style="338" bestFit="1" customWidth="1"/>
    <col min="3596" max="3596" width="4.7109375" style="338" bestFit="1" customWidth="1"/>
    <col min="3597" max="3840" width="8.85546875" style="338"/>
    <col min="3841" max="3845" width="14.7109375" style="338" bestFit="1" customWidth="1"/>
    <col min="3846" max="3846" width="14.140625" style="338" bestFit="1" customWidth="1"/>
    <col min="3847" max="3849" width="14.7109375" style="338" bestFit="1" customWidth="1"/>
    <col min="3850" max="3850" width="9.85546875" style="338" bestFit="1" customWidth="1"/>
    <col min="3851" max="3851" width="19.42578125" style="338" bestFit="1" customWidth="1"/>
    <col min="3852" max="3852" width="4.7109375" style="338" bestFit="1" customWidth="1"/>
    <col min="3853" max="4096" width="8.85546875" style="338"/>
    <col min="4097" max="4101" width="14.7109375" style="338" bestFit="1" customWidth="1"/>
    <col min="4102" max="4102" width="14.140625" style="338" bestFit="1" customWidth="1"/>
    <col min="4103" max="4105" width="14.7109375" style="338" bestFit="1" customWidth="1"/>
    <col min="4106" max="4106" width="9.85546875" style="338" bestFit="1" customWidth="1"/>
    <col min="4107" max="4107" width="19.42578125" style="338" bestFit="1" customWidth="1"/>
    <col min="4108" max="4108" width="4.7109375" style="338" bestFit="1" customWidth="1"/>
    <col min="4109" max="4352" width="8.85546875" style="338"/>
    <col min="4353" max="4357" width="14.7109375" style="338" bestFit="1" customWidth="1"/>
    <col min="4358" max="4358" width="14.140625" style="338" bestFit="1" customWidth="1"/>
    <col min="4359" max="4361" width="14.7109375" style="338" bestFit="1" customWidth="1"/>
    <col min="4362" max="4362" width="9.85546875" style="338" bestFit="1" customWidth="1"/>
    <col min="4363" max="4363" width="19.42578125" style="338" bestFit="1" customWidth="1"/>
    <col min="4364" max="4364" width="4.7109375" style="338" bestFit="1" customWidth="1"/>
    <col min="4365" max="4608" width="8.85546875" style="338"/>
    <col min="4609" max="4613" width="14.7109375" style="338" bestFit="1" customWidth="1"/>
    <col min="4614" max="4614" width="14.140625" style="338" bestFit="1" customWidth="1"/>
    <col min="4615" max="4617" width="14.7109375" style="338" bestFit="1" customWidth="1"/>
    <col min="4618" max="4618" width="9.85546875" style="338" bestFit="1" customWidth="1"/>
    <col min="4619" max="4619" width="19.42578125" style="338" bestFit="1" customWidth="1"/>
    <col min="4620" max="4620" width="4.7109375" style="338" bestFit="1" customWidth="1"/>
    <col min="4621" max="4864" width="8.85546875" style="338"/>
    <col min="4865" max="4869" width="14.7109375" style="338" bestFit="1" customWidth="1"/>
    <col min="4870" max="4870" width="14.140625" style="338" bestFit="1" customWidth="1"/>
    <col min="4871" max="4873" width="14.7109375" style="338" bestFit="1" customWidth="1"/>
    <col min="4874" max="4874" width="9.85546875" style="338" bestFit="1" customWidth="1"/>
    <col min="4875" max="4875" width="19.42578125" style="338" bestFit="1" customWidth="1"/>
    <col min="4876" max="4876" width="4.7109375" style="338" bestFit="1" customWidth="1"/>
    <col min="4877" max="5120" width="8.85546875" style="338"/>
    <col min="5121" max="5125" width="14.7109375" style="338" bestFit="1" customWidth="1"/>
    <col min="5126" max="5126" width="14.140625" style="338" bestFit="1" customWidth="1"/>
    <col min="5127" max="5129" width="14.7109375" style="338" bestFit="1" customWidth="1"/>
    <col min="5130" max="5130" width="9.85546875" style="338" bestFit="1" customWidth="1"/>
    <col min="5131" max="5131" width="19.42578125" style="338" bestFit="1" customWidth="1"/>
    <col min="5132" max="5132" width="4.7109375" style="338" bestFit="1" customWidth="1"/>
    <col min="5133" max="5376" width="8.85546875" style="338"/>
    <col min="5377" max="5381" width="14.7109375" style="338" bestFit="1" customWidth="1"/>
    <col min="5382" max="5382" width="14.140625" style="338" bestFit="1" customWidth="1"/>
    <col min="5383" max="5385" width="14.7109375" style="338" bestFit="1" customWidth="1"/>
    <col min="5386" max="5386" width="9.85546875" style="338" bestFit="1" customWidth="1"/>
    <col min="5387" max="5387" width="19.42578125" style="338" bestFit="1" customWidth="1"/>
    <col min="5388" max="5388" width="4.7109375" style="338" bestFit="1" customWidth="1"/>
    <col min="5389" max="5632" width="8.85546875" style="338"/>
    <col min="5633" max="5637" width="14.7109375" style="338" bestFit="1" customWidth="1"/>
    <col min="5638" max="5638" width="14.140625" style="338" bestFit="1" customWidth="1"/>
    <col min="5639" max="5641" width="14.7109375" style="338" bestFit="1" customWidth="1"/>
    <col min="5642" max="5642" width="9.85546875" style="338" bestFit="1" customWidth="1"/>
    <col min="5643" max="5643" width="19.42578125" style="338" bestFit="1" customWidth="1"/>
    <col min="5644" max="5644" width="4.7109375" style="338" bestFit="1" customWidth="1"/>
    <col min="5645" max="5888" width="8.85546875" style="338"/>
    <col min="5889" max="5893" width="14.7109375" style="338" bestFit="1" customWidth="1"/>
    <col min="5894" max="5894" width="14.140625" style="338" bestFit="1" customWidth="1"/>
    <col min="5895" max="5897" width="14.7109375" style="338" bestFit="1" customWidth="1"/>
    <col min="5898" max="5898" width="9.85546875" style="338" bestFit="1" customWidth="1"/>
    <col min="5899" max="5899" width="19.42578125" style="338" bestFit="1" customWidth="1"/>
    <col min="5900" max="5900" width="4.7109375" style="338" bestFit="1" customWidth="1"/>
    <col min="5901" max="6144" width="8.85546875" style="338"/>
    <col min="6145" max="6149" width="14.7109375" style="338" bestFit="1" customWidth="1"/>
    <col min="6150" max="6150" width="14.140625" style="338" bestFit="1" customWidth="1"/>
    <col min="6151" max="6153" width="14.7109375" style="338" bestFit="1" customWidth="1"/>
    <col min="6154" max="6154" width="9.85546875" style="338" bestFit="1" customWidth="1"/>
    <col min="6155" max="6155" width="19.42578125" style="338" bestFit="1" customWidth="1"/>
    <col min="6156" max="6156" width="4.7109375" style="338" bestFit="1" customWidth="1"/>
    <col min="6157" max="6400" width="8.85546875" style="338"/>
    <col min="6401" max="6405" width="14.7109375" style="338" bestFit="1" customWidth="1"/>
    <col min="6406" max="6406" width="14.140625" style="338" bestFit="1" customWidth="1"/>
    <col min="6407" max="6409" width="14.7109375" style="338" bestFit="1" customWidth="1"/>
    <col min="6410" max="6410" width="9.85546875" style="338" bestFit="1" customWidth="1"/>
    <col min="6411" max="6411" width="19.42578125" style="338" bestFit="1" customWidth="1"/>
    <col min="6412" max="6412" width="4.7109375" style="338" bestFit="1" customWidth="1"/>
    <col min="6413" max="6656" width="8.85546875" style="338"/>
    <col min="6657" max="6661" width="14.7109375" style="338" bestFit="1" customWidth="1"/>
    <col min="6662" max="6662" width="14.140625" style="338" bestFit="1" customWidth="1"/>
    <col min="6663" max="6665" width="14.7109375" style="338" bestFit="1" customWidth="1"/>
    <col min="6666" max="6666" width="9.85546875" style="338" bestFit="1" customWidth="1"/>
    <col min="6667" max="6667" width="19.42578125" style="338" bestFit="1" customWidth="1"/>
    <col min="6668" max="6668" width="4.7109375" style="338" bestFit="1" customWidth="1"/>
    <col min="6669" max="6912" width="8.85546875" style="338"/>
    <col min="6913" max="6917" width="14.7109375" style="338" bestFit="1" customWidth="1"/>
    <col min="6918" max="6918" width="14.140625" style="338" bestFit="1" customWidth="1"/>
    <col min="6919" max="6921" width="14.7109375" style="338" bestFit="1" customWidth="1"/>
    <col min="6922" max="6922" width="9.85546875" style="338" bestFit="1" customWidth="1"/>
    <col min="6923" max="6923" width="19.42578125" style="338" bestFit="1" customWidth="1"/>
    <col min="6924" max="6924" width="4.7109375" style="338" bestFit="1" customWidth="1"/>
    <col min="6925" max="7168" width="8.85546875" style="338"/>
    <col min="7169" max="7173" width="14.7109375" style="338" bestFit="1" customWidth="1"/>
    <col min="7174" max="7174" width="14.140625" style="338" bestFit="1" customWidth="1"/>
    <col min="7175" max="7177" width="14.7109375" style="338" bestFit="1" customWidth="1"/>
    <col min="7178" max="7178" width="9.85546875" style="338" bestFit="1" customWidth="1"/>
    <col min="7179" max="7179" width="19.42578125" style="338" bestFit="1" customWidth="1"/>
    <col min="7180" max="7180" width="4.7109375" style="338" bestFit="1" customWidth="1"/>
    <col min="7181" max="7424" width="8.85546875" style="338"/>
    <col min="7425" max="7429" width="14.7109375" style="338" bestFit="1" customWidth="1"/>
    <col min="7430" max="7430" width="14.140625" style="338" bestFit="1" customWidth="1"/>
    <col min="7431" max="7433" width="14.7109375" style="338" bestFit="1" customWidth="1"/>
    <col min="7434" max="7434" width="9.85546875" style="338" bestFit="1" customWidth="1"/>
    <col min="7435" max="7435" width="19.42578125" style="338" bestFit="1" customWidth="1"/>
    <col min="7436" max="7436" width="4.7109375" style="338" bestFit="1" customWidth="1"/>
    <col min="7437" max="7680" width="8.85546875" style="338"/>
    <col min="7681" max="7685" width="14.7109375" style="338" bestFit="1" customWidth="1"/>
    <col min="7686" max="7686" width="14.140625" style="338" bestFit="1" customWidth="1"/>
    <col min="7687" max="7689" width="14.7109375" style="338" bestFit="1" customWidth="1"/>
    <col min="7690" max="7690" width="9.85546875" style="338" bestFit="1" customWidth="1"/>
    <col min="7691" max="7691" width="19.42578125" style="338" bestFit="1" customWidth="1"/>
    <col min="7692" max="7692" width="4.7109375" style="338" bestFit="1" customWidth="1"/>
    <col min="7693" max="7936" width="8.85546875" style="338"/>
    <col min="7937" max="7941" width="14.7109375" style="338" bestFit="1" customWidth="1"/>
    <col min="7942" max="7942" width="14.140625" style="338" bestFit="1" customWidth="1"/>
    <col min="7943" max="7945" width="14.7109375" style="338" bestFit="1" customWidth="1"/>
    <col min="7946" max="7946" width="9.85546875" style="338" bestFit="1" customWidth="1"/>
    <col min="7947" max="7947" width="19.42578125" style="338" bestFit="1" customWidth="1"/>
    <col min="7948" max="7948" width="4.7109375" style="338" bestFit="1" customWidth="1"/>
    <col min="7949" max="8192" width="8.85546875" style="338"/>
    <col min="8193" max="8197" width="14.7109375" style="338" bestFit="1" customWidth="1"/>
    <col min="8198" max="8198" width="14.140625" style="338" bestFit="1" customWidth="1"/>
    <col min="8199" max="8201" width="14.7109375" style="338" bestFit="1" customWidth="1"/>
    <col min="8202" max="8202" width="9.85546875" style="338" bestFit="1" customWidth="1"/>
    <col min="8203" max="8203" width="19.42578125" style="338" bestFit="1" customWidth="1"/>
    <col min="8204" max="8204" width="4.7109375" style="338" bestFit="1" customWidth="1"/>
    <col min="8205" max="8448" width="8.85546875" style="338"/>
    <col min="8449" max="8453" width="14.7109375" style="338" bestFit="1" customWidth="1"/>
    <col min="8454" max="8454" width="14.140625" style="338" bestFit="1" customWidth="1"/>
    <col min="8455" max="8457" width="14.7109375" style="338" bestFit="1" customWidth="1"/>
    <col min="8458" max="8458" width="9.85546875" style="338" bestFit="1" customWidth="1"/>
    <col min="8459" max="8459" width="19.42578125" style="338" bestFit="1" customWidth="1"/>
    <col min="8460" max="8460" width="4.7109375" style="338" bestFit="1" customWidth="1"/>
    <col min="8461" max="8704" width="8.85546875" style="338"/>
    <col min="8705" max="8709" width="14.7109375" style="338" bestFit="1" customWidth="1"/>
    <col min="8710" max="8710" width="14.140625" style="338" bestFit="1" customWidth="1"/>
    <col min="8711" max="8713" width="14.7109375" style="338" bestFit="1" customWidth="1"/>
    <col min="8714" max="8714" width="9.85546875" style="338" bestFit="1" customWidth="1"/>
    <col min="8715" max="8715" width="19.42578125" style="338" bestFit="1" customWidth="1"/>
    <col min="8716" max="8716" width="4.7109375" style="338" bestFit="1" customWidth="1"/>
    <col min="8717" max="8960" width="8.85546875" style="338"/>
    <col min="8961" max="8965" width="14.7109375" style="338" bestFit="1" customWidth="1"/>
    <col min="8966" max="8966" width="14.140625" style="338" bestFit="1" customWidth="1"/>
    <col min="8967" max="8969" width="14.7109375" style="338" bestFit="1" customWidth="1"/>
    <col min="8970" max="8970" width="9.85546875" style="338" bestFit="1" customWidth="1"/>
    <col min="8971" max="8971" width="19.42578125" style="338" bestFit="1" customWidth="1"/>
    <col min="8972" max="8972" width="4.7109375" style="338" bestFit="1" customWidth="1"/>
    <col min="8973" max="9216" width="8.85546875" style="338"/>
    <col min="9217" max="9221" width="14.7109375" style="338" bestFit="1" customWidth="1"/>
    <col min="9222" max="9222" width="14.140625" style="338" bestFit="1" customWidth="1"/>
    <col min="9223" max="9225" width="14.7109375" style="338" bestFit="1" customWidth="1"/>
    <col min="9226" max="9226" width="9.85546875" style="338" bestFit="1" customWidth="1"/>
    <col min="9227" max="9227" width="19.42578125" style="338" bestFit="1" customWidth="1"/>
    <col min="9228" max="9228" width="4.7109375" style="338" bestFit="1" customWidth="1"/>
    <col min="9229" max="9472" width="8.85546875" style="338"/>
    <col min="9473" max="9477" width="14.7109375" style="338" bestFit="1" customWidth="1"/>
    <col min="9478" max="9478" width="14.140625" style="338" bestFit="1" customWidth="1"/>
    <col min="9479" max="9481" width="14.7109375" style="338" bestFit="1" customWidth="1"/>
    <col min="9482" max="9482" width="9.85546875" style="338" bestFit="1" customWidth="1"/>
    <col min="9483" max="9483" width="19.42578125" style="338" bestFit="1" customWidth="1"/>
    <col min="9484" max="9484" width="4.7109375" style="338" bestFit="1" customWidth="1"/>
    <col min="9485" max="9728" width="8.85546875" style="338"/>
    <col min="9729" max="9733" width="14.7109375" style="338" bestFit="1" customWidth="1"/>
    <col min="9734" max="9734" width="14.140625" style="338" bestFit="1" customWidth="1"/>
    <col min="9735" max="9737" width="14.7109375" style="338" bestFit="1" customWidth="1"/>
    <col min="9738" max="9738" width="9.85546875" style="338" bestFit="1" customWidth="1"/>
    <col min="9739" max="9739" width="19.42578125" style="338" bestFit="1" customWidth="1"/>
    <col min="9740" max="9740" width="4.7109375" style="338" bestFit="1" customWidth="1"/>
    <col min="9741" max="9984" width="8.85546875" style="338"/>
    <col min="9985" max="9989" width="14.7109375" style="338" bestFit="1" customWidth="1"/>
    <col min="9990" max="9990" width="14.140625" style="338" bestFit="1" customWidth="1"/>
    <col min="9991" max="9993" width="14.7109375" style="338" bestFit="1" customWidth="1"/>
    <col min="9994" max="9994" width="9.85546875" style="338" bestFit="1" customWidth="1"/>
    <col min="9995" max="9995" width="19.42578125" style="338" bestFit="1" customWidth="1"/>
    <col min="9996" max="9996" width="4.7109375" style="338" bestFit="1" customWidth="1"/>
    <col min="9997" max="10240" width="8.85546875" style="338"/>
    <col min="10241" max="10245" width="14.7109375" style="338" bestFit="1" customWidth="1"/>
    <col min="10246" max="10246" width="14.140625" style="338" bestFit="1" customWidth="1"/>
    <col min="10247" max="10249" width="14.7109375" style="338" bestFit="1" customWidth="1"/>
    <col min="10250" max="10250" width="9.85546875" style="338" bestFit="1" customWidth="1"/>
    <col min="10251" max="10251" width="19.42578125" style="338" bestFit="1" customWidth="1"/>
    <col min="10252" max="10252" width="4.7109375" style="338" bestFit="1" customWidth="1"/>
    <col min="10253" max="10496" width="8.85546875" style="338"/>
    <col min="10497" max="10501" width="14.7109375" style="338" bestFit="1" customWidth="1"/>
    <col min="10502" max="10502" width="14.140625" style="338" bestFit="1" customWidth="1"/>
    <col min="10503" max="10505" width="14.7109375" style="338" bestFit="1" customWidth="1"/>
    <col min="10506" max="10506" width="9.85546875" style="338" bestFit="1" customWidth="1"/>
    <col min="10507" max="10507" width="19.42578125" style="338" bestFit="1" customWidth="1"/>
    <col min="10508" max="10508" width="4.7109375" style="338" bestFit="1" customWidth="1"/>
    <col min="10509" max="10752" width="8.85546875" style="338"/>
    <col min="10753" max="10757" width="14.7109375" style="338" bestFit="1" customWidth="1"/>
    <col min="10758" max="10758" width="14.140625" style="338" bestFit="1" customWidth="1"/>
    <col min="10759" max="10761" width="14.7109375" style="338" bestFit="1" customWidth="1"/>
    <col min="10762" max="10762" width="9.85546875" style="338" bestFit="1" customWidth="1"/>
    <col min="10763" max="10763" width="19.42578125" style="338" bestFit="1" customWidth="1"/>
    <col min="10764" max="10764" width="4.7109375" style="338" bestFit="1" customWidth="1"/>
    <col min="10765" max="11008" width="8.85546875" style="338"/>
    <col min="11009" max="11013" width="14.7109375" style="338" bestFit="1" customWidth="1"/>
    <col min="11014" max="11014" width="14.140625" style="338" bestFit="1" customWidth="1"/>
    <col min="11015" max="11017" width="14.7109375" style="338" bestFit="1" customWidth="1"/>
    <col min="11018" max="11018" width="9.85546875" style="338" bestFit="1" customWidth="1"/>
    <col min="11019" max="11019" width="19.42578125" style="338" bestFit="1" customWidth="1"/>
    <col min="11020" max="11020" width="4.7109375" style="338" bestFit="1" customWidth="1"/>
    <col min="11021" max="11264" width="8.85546875" style="338"/>
    <col min="11265" max="11269" width="14.7109375" style="338" bestFit="1" customWidth="1"/>
    <col min="11270" max="11270" width="14.140625" style="338" bestFit="1" customWidth="1"/>
    <col min="11271" max="11273" width="14.7109375" style="338" bestFit="1" customWidth="1"/>
    <col min="11274" max="11274" width="9.85546875" style="338" bestFit="1" customWidth="1"/>
    <col min="11275" max="11275" width="19.42578125" style="338" bestFit="1" customWidth="1"/>
    <col min="11276" max="11276" width="4.7109375" style="338" bestFit="1" customWidth="1"/>
    <col min="11277" max="11520" width="8.85546875" style="338"/>
    <col min="11521" max="11525" width="14.7109375" style="338" bestFit="1" customWidth="1"/>
    <col min="11526" max="11526" width="14.140625" style="338" bestFit="1" customWidth="1"/>
    <col min="11527" max="11529" width="14.7109375" style="338" bestFit="1" customWidth="1"/>
    <col min="11530" max="11530" width="9.85546875" style="338" bestFit="1" customWidth="1"/>
    <col min="11531" max="11531" width="19.42578125" style="338" bestFit="1" customWidth="1"/>
    <col min="11532" max="11532" width="4.7109375" style="338" bestFit="1" customWidth="1"/>
    <col min="11533" max="11776" width="8.85546875" style="338"/>
    <col min="11777" max="11781" width="14.7109375" style="338" bestFit="1" customWidth="1"/>
    <col min="11782" max="11782" width="14.140625" style="338" bestFit="1" customWidth="1"/>
    <col min="11783" max="11785" width="14.7109375" style="338" bestFit="1" customWidth="1"/>
    <col min="11786" max="11786" width="9.85546875" style="338" bestFit="1" customWidth="1"/>
    <col min="11787" max="11787" width="19.42578125" style="338" bestFit="1" customWidth="1"/>
    <col min="11788" max="11788" width="4.7109375" style="338" bestFit="1" customWidth="1"/>
    <col min="11789" max="12032" width="8.85546875" style="338"/>
    <col min="12033" max="12037" width="14.7109375" style="338" bestFit="1" customWidth="1"/>
    <col min="12038" max="12038" width="14.140625" style="338" bestFit="1" customWidth="1"/>
    <col min="12039" max="12041" width="14.7109375" style="338" bestFit="1" customWidth="1"/>
    <col min="12042" max="12042" width="9.85546875" style="338" bestFit="1" customWidth="1"/>
    <col min="12043" max="12043" width="19.42578125" style="338" bestFit="1" customWidth="1"/>
    <col min="12044" max="12044" width="4.7109375" style="338" bestFit="1" customWidth="1"/>
    <col min="12045" max="12288" width="8.85546875" style="338"/>
    <col min="12289" max="12293" width="14.7109375" style="338" bestFit="1" customWidth="1"/>
    <col min="12294" max="12294" width="14.140625" style="338" bestFit="1" customWidth="1"/>
    <col min="12295" max="12297" width="14.7109375" style="338" bestFit="1" customWidth="1"/>
    <col min="12298" max="12298" width="9.85546875" style="338" bestFit="1" customWidth="1"/>
    <col min="12299" max="12299" width="19.42578125" style="338" bestFit="1" customWidth="1"/>
    <col min="12300" max="12300" width="4.7109375" style="338" bestFit="1" customWidth="1"/>
    <col min="12301" max="12544" width="8.85546875" style="338"/>
    <col min="12545" max="12549" width="14.7109375" style="338" bestFit="1" customWidth="1"/>
    <col min="12550" max="12550" width="14.140625" style="338" bestFit="1" customWidth="1"/>
    <col min="12551" max="12553" width="14.7109375" style="338" bestFit="1" customWidth="1"/>
    <col min="12554" max="12554" width="9.85546875" style="338" bestFit="1" customWidth="1"/>
    <col min="12555" max="12555" width="19.42578125" style="338" bestFit="1" customWidth="1"/>
    <col min="12556" max="12556" width="4.7109375" style="338" bestFit="1" customWidth="1"/>
    <col min="12557" max="12800" width="8.85546875" style="338"/>
    <col min="12801" max="12805" width="14.7109375" style="338" bestFit="1" customWidth="1"/>
    <col min="12806" max="12806" width="14.140625" style="338" bestFit="1" customWidth="1"/>
    <col min="12807" max="12809" width="14.7109375" style="338" bestFit="1" customWidth="1"/>
    <col min="12810" max="12810" width="9.85546875" style="338" bestFit="1" customWidth="1"/>
    <col min="12811" max="12811" width="19.42578125" style="338" bestFit="1" customWidth="1"/>
    <col min="12812" max="12812" width="4.7109375" style="338" bestFit="1" customWidth="1"/>
    <col min="12813" max="13056" width="8.85546875" style="338"/>
    <col min="13057" max="13061" width="14.7109375" style="338" bestFit="1" customWidth="1"/>
    <col min="13062" max="13062" width="14.140625" style="338" bestFit="1" customWidth="1"/>
    <col min="13063" max="13065" width="14.7109375" style="338" bestFit="1" customWidth="1"/>
    <col min="13066" max="13066" width="9.85546875" style="338" bestFit="1" customWidth="1"/>
    <col min="13067" max="13067" width="19.42578125" style="338" bestFit="1" customWidth="1"/>
    <col min="13068" max="13068" width="4.7109375" style="338" bestFit="1" customWidth="1"/>
    <col min="13069" max="13312" width="8.85546875" style="338"/>
    <col min="13313" max="13317" width="14.7109375" style="338" bestFit="1" customWidth="1"/>
    <col min="13318" max="13318" width="14.140625" style="338" bestFit="1" customWidth="1"/>
    <col min="13319" max="13321" width="14.7109375" style="338" bestFit="1" customWidth="1"/>
    <col min="13322" max="13322" width="9.85546875" style="338" bestFit="1" customWidth="1"/>
    <col min="13323" max="13323" width="19.42578125" style="338" bestFit="1" customWidth="1"/>
    <col min="13324" max="13324" width="4.7109375" style="338" bestFit="1" customWidth="1"/>
    <col min="13325" max="13568" width="8.85546875" style="338"/>
    <col min="13569" max="13573" width="14.7109375" style="338" bestFit="1" customWidth="1"/>
    <col min="13574" max="13574" width="14.140625" style="338" bestFit="1" customWidth="1"/>
    <col min="13575" max="13577" width="14.7109375" style="338" bestFit="1" customWidth="1"/>
    <col min="13578" max="13578" width="9.85546875" style="338" bestFit="1" customWidth="1"/>
    <col min="13579" max="13579" width="19.42578125" style="338" bestFit="1" customWidth="1"/>
    <col min="13580" max="13580" width="4.7109375" style="338" bestFit="1" customWidth="1"/>
    <col min="13581" max="13824" width="8.85546875" style="338"/>
    <col min="13825" max="13829" width="14.7109375" style="338" bestFit="1" customWidth="1"/>
    <col min="13830" max="13830" width="14.140625" style="338" bestFit="1" customWidth="1"/>
    <col min="13831" max="13833" width="14.7109375" style="338" bestFit="1" customWidth="1"/>
    <col min="13834" max="13834" width="9.85546875" style="338" bestFit="1" customWidth="1"/>
    <col min="13835" max="13835" width="19.42578125" style="338" bestFit="1" customWidth="1"/>
    <col min="13836" max="13836" width="4.7109375" style="338" bestFit="1" customWidth="1"/>
    <col min="13837" max="14080" width="8.85546875" style="338"/>
    <col min="14081" max="14085" width="14.7109375" style="338" bestFit="1" customWidth="1"/>
    <col min="14086" max="14086" width="14.140625" style="338" bestFit="1" customWidth="1"/>
    <col min="14087" max="14089" width="14.7109375" style="338" bestFit="1" customWidth="1"/>
    <col min="14090" max="14090" width="9.85546875" style="338" bestFit="1" customWidth="1"/>
    <col min="14091" max="14091" width="19.42578125" style="338" bestFit="1" customWidth="1"/>
    <col min="14092" max="14092" width="4.7109375" style="338" bestFit="1" customWidth="1"/>
    <col min="14093" max="14336" width="8.85546875" style="338"/>
    <col min="14337" max="14341" width="14.7109375" style="338" bestFit="1" customWidth="1"/>
    <col min="14342" max="14342" width="14.140625" style="338" bestFit="1" customWidth="1"/>
    <col min="14343" max="14345" width="14.7109375" style="338" bestFit="1" customWidth="1"/>
    <col min="14346" max="14346" width="9.85546875" style="338" bestFit="1" customWidth="1"/>
    <col min="14347" max="14347" width="19.42578125" style="338" bestFit="1" customWidth="1"/>
    <col min="14348" max="14348" width="4.7109375" style="338" bestFit="1" customWidth="1"/>
    <col min="14349" max="14592" width="8.85546875" style="338"/>
    <col min="14593" max="14597" width="14.7109375" style="338" bestFit="1" customWidth="1"/>
    <col min="14598" max="14598" width="14.140625" style="338" bestFit="1" customWidth="1"/>
    <col min="14599" max="14601" width="14.7109375" style="338" bestFit="1" customWidth="1"/>
    <col min="14602" max="14602" width="9.85546875" style="338" bestFit="1" customWidth="1"/>
    <col min="14603" max="14603" width="19.42578125" style="338" bestFit="1" customWidth="1"/>
    <col min="14604" max="14604" width="4.7109375" style="338" bestFit="1" customWidth="1"/>
    <col min="14605" max="14848" width="8.85546875" style="338"/>
    <col min="14849" max="14853" width="14.7109375" style="338" bestFit="1" customWidth="1"/>
    <col min="14854" max="14854" width="14.140625" style="338" bestFit="1" customWidth="1"/>
    <col min="14855" max="14857" width="14.7109375" style="338" bestFit="1" customWidth="1"/>
    <col min="14858" max="14858" width="9.85546875" style="338" bestFit="1" customWidth="1"/>
    <col min="14859" max="14859" width="19.42578125" style="338" bestFit="1" customWidth="1"/>
    <col min="14860" max="14860" width="4.7109375" style="338" bestFit="1" customWidth="1"/>
    <col min="14861" max="15104" width="8.85546875" style="338"/>
    <col min="15105" max="15109" width="14.7109375" style="338" bestFit="1" customWidth="1"/>
    <col min="15110" max="15110" width="14.140625" style="338" bestFit="1" customWidth="1"/>
    <col min="15111" max="15113" width="14.7109375" style="338" bestFit="1" customWidth="1"/>
    <col min="15114" max="15114" width="9.85546875" style="338" bestFit="1" customWidth="1"/>
    <col min="15115" max="15115" width="19.42578125" style="338" bestFit="1" customWidth="1"/>
    <col min="15116" max="15116" width="4.7109375" style="338" bestFit="1" customWidth="1"/>
    <col min="15117" max="15360" width="8.85546875" style="338"/>
    <col min="15361" max="15365" width="14.7109375" style="338" bestFit="1" customWidth="1"/>
    <col min="15366" max="15366" width="14.140625" style="338" bestFit="1" customWidth="1"/>
    <col min="15367" max="15369" width="14.7109375" style="338" bestFit="1" customWidth="1"/>
    <col min="15370" max="15370" width="9.85546875" style="338" bestFit="1" customWidth="1"/>
    <col min="15371" max="15371" width="19.42578125" style="338" bestFit="1" customWidth="1"/>
    <col min="15372" max="15372" width="4.7109375" style="338" bestFit="1" customWidth="1"/>
    <col min="15373" max="15616" width="8.85546875" style="338"/>
    <col min="15617" max="15621" width="14.7109375" style="338" bestFit="1" customWidth="1"/>
    <col min="15622" max="15622" width="14.140625" style="338" bestFit="1" customWidth="1"/>
    <col min="15623" max="15625" width="14.7109375" style="338" bestFit="1" customWidth="1"/>
    <col min="15626" max="15626" width="9.85546875" style="338" bestFit="1" customWidth="1"/>
    <col min="15627" max="15627" width="19.42578125" style="338" bestFit="1" customWidth="1"/>
    <col min="15628" max="15628" width="4.7109375" style="338" bestFit="1" customWidth="1"/>
    <col min="15629" max="15872" width="8.85546875" style="338"/>
    <col min="15873" max="15877" width="14.7109375" style="338" bestFit="1" customWidth="1"/>
    <col min="15878" max="15878" width="14.140625" style="338" bestFit="1" customWidth="1"/>
    <col min="15879" max="15881" width="14.7109375" style="338" bestFit="1" customWidth="1"/>
    <col min="15882" max="15882" width="9.85546875" style="338" bestFit="1" customWidth="1"/>
    <col min="15883" max="15883" width="19.42578125" style="338" bestFit="1" customWidth="1"/>
    <col min="15884" max="15884" width="4.7109375" style="338" bestFit="1" customWidth="1"/>
    <col min="15885" max="16128" width="8.85546875" style="338"/>
    <col min="16129" max="16133" width="14.7109375" style="338" bestFit="1" customWidth="1"/>
    <col min="16134" max="16134" width="14.140625" style="338" bestFit="1" customWidth="1"/>
    <col min="16135" max="16137" width="14.7109375" style="338" bestFit="1" customWidth="1"/>
    <col min="16138" max="16138" width="9.85546875" style="338" bestFit="1" customWidth="1"/>
    <col min="16139" max="16139" width="19.42578125" style="338" bestFit="1" customWidth="1"/>
    <col min="16140" max="16140" width="4.7109375" style="338" bestFit="1" customWidth="1"/>
    <col min="16141" max="16384" width="8.85546875" style="338"/>
  </cols>
  <sheetData>
    <row r="1" spans="1:11" ht="16.5" customHeight="1">
      <c r="A1" s="1357" t="s">
        <v>830</v>
      </c>
      <c r="B1" s="1357"/>
      <c r="C1" s="1357"/>
      <c r="D1" s="1357"/>
      <c r="E1" s="1357"/>
      <c r="F1" s="1357"/>
      <c r="G1" s="1357"/>
      <c r="H1" s="1357"/>
      <c r="I1" s="1357"/>
      <c r="J1" s="1357"/>
    </row>
    <row r="2" spans="1:11" s="468" customFormat="1" ht="18" customHeight="1">
      <c r="A2" s="1358" t="s">
        <v>70</v>
      </c>
      <c r="B2" s="1421" t="s">
        <v>805</v>
      </c>
      <c r="C2" s="1422"/>
      <c r="D2" s="1422"/>
      <c r="E2" s="1422"/>
      <c r="F2" s="1423"/>
      <c r="G2" s="1421" t="s">
        <v>806</v>
      </c>
      <c r="H2" s="1422"/>
      <c r="I2" s="1422"/>
      <c r="J2" s="1422"/>
      <c r="K2" s="1423"/>
    </row>
    <row r="3" spans="1:11" s="468" customFormat="1" ht="56.25" customHeight="1">
      <c r="A3" s="1360"/>
      <c r="B3" s="599" t="s">
        <v>831</v>
      </c>
      <c r="C3" s="599" t="s">
        <v>832</v>
      </c>
      <c r="D3" s="600" t="s">
        <v>833</v>
      </c>
      <c r="E3" s="600" t="s">
        <v>834</v>
      </c>
      <c r="F3" s="599" t="s">
        <v>835</v>
      </c>
      <c r="G3" s="599" t="s">
        <v>831</v>
      </c>
      <c r="H3" s="599" t="s">
        <v>832</v>
      </c>
      <c r="I3" s="600" t="s">
        <v>833</v>
      </c>
      <c r="J3" s="600" t="s">
        <v>834</v>
      </c>
      <c r="K3" s="599" t="s">
        <v>836</v>
      </c>
    </row>
    <row r="4" spans="1:11" s="473" customFormat="1" ht="18" customHeight="1">
      <c r="A4" s="471" t="s">
        <v>58</v>
      </c>
      <c r="B4" s="660">
        <v>30335</v>
      </c>
      <c r="C4" s="660">
        <v>279</v>
      </c>
      <c r="D4" s="660">
        <v>30874</v>
      </c>
      <c r="E4" s="661">
        <v>2351602.9900000002</v>
      </c>
      <c r="F4" s="662">
        <v>16032791.785</v>
      </c>
      <c r="G4" s="660">
        <v>14762</v>
      </c>
      <c r="H4" s="660">
        <v>599</v>
      </c>
      <c r="I4" s="660">
        <v>20352</v>
      </c>
      <c r="J4" s="661">
        <v>455726.55</v>
      </c>
      <c r="K4" s="661">
        <v>1671972.37</v>
      </c>
    </row>
    <row r="5" spans="1:11" s="473" customFormat="1" ht="18" customHeight="1">
      <c r="A5" s="471" t="s">
        <v>61</v>
      </c>
      <c r="B5" s="660">
        <f>B16</f>
        <v>33800</v>
      </c>
      <c r="C5" s="660">
        <f t="shared" ref="C5:K5" si="0">C16</f>
        <v>280</v>
      </c>
      <c r="D5" s="660">
        <f t="shared" si="0"/>
        <v>31939</v>
      </c>
      <c r="E5" s="660">
        <f t="shared" si="0"/>
        <v>2378492.41</v>
      </c>
      <c r="F5" s="660">
        <f t="shared" si="0"/>
        <v>23832438.739</v>
      </c>
      <c r="G5" s="660">
        <f t="shared" si="0"/>
        <v>16280</v>
      </c>
      <c r="H5" s="660">
        <f t="shared" si="0"/>
        <v>592</v>
      </c>
      <c r="I5" s="660">
        <f t="shared" si="0"/>
        <v>20695</v>
      </c>
      <c r="J5" s="660">
        <f t="shared" si="0"/>
        <v>469162.99</v>
      </c>
      <c r="K5" s="660">
        <f t="shared" si="0"/>
        <v>2826140.92</v>
      </c>
    </row>
    <row r="6" spans="1:11" s="468" customFormat="1" ht="18" customHeight="1">
      <c r="A6" s="601" t="s">
        <v>60</v>
      </c>
      <c r="B6" s="602">
        <v>30366</v>
      </c>
      <c r="C6" s="602">
        <v>280</v>
      </c>
      <c r="D6" s="602">
        <v>30948</v>
      </c>
      <c r="E6" s="603">
        <v>2354838.66</v>
      </c>
      <c r="F6" s="604">
        <v>18960841.862</v>
      </c>
      <c r="G6" s="602">
        <v>38546</v>
      </c>
      <c r="H6" s="475">
        <v>595</v>
      </c>
      <c r="I6" s="475">
        <v>20519</v>
      </c>
      <c r="J6" s="475">
        <v>438715.09</v>
      </c>
      <c r="K6" s="475">
        <v>1844619.85</v>
      </c>
    </row>
    <row r="7" spans="1:11" s="468" customFormat="1" ht="18" customHeight="1">
      <c r="A7" s="601" t="s">
        <v>59</v>
      </c>
      <c r="B7" s="602">
        <v>30425</v>
      </c>
      <c r="C7" s="602">
        <v>280</v>
      </c>
      <c r="D7" s="602">
        <v>30971</v>
      </c>
      <c r="E7" s="603">
        <v>2175115.25</v>
      </c>
      <c r="F7" s="604">
        <v>17045667.539999999</v>
      </c>
      <c r="G7" s="602">
        <v>14818</v>
      </c>
      <c r="H7" s="602">
        <v>596</v>
      </c>
      <c r="I7" s="602">
        <v>20548</v>
      </c>
      <c r="J7" s="603">
        <v>437804.87</v>
      </c>
      <c r="K7" s="603">
        <v>1844324.8</v>
      </c>
    </row>
    <row r="8" spans="1:11" s="468" customFormat="1" ht="18" customHeight="1">
      <c r="A8" s="601" t="s">
        <v>310</v>
      </c>
      <c r="B8" s="602">
        <v>30594</v>
      </c>
      <c r="C8" s="602">
        <v>278</v>
      </c>
      <c r="D8" s="602">
        <v>30989</v>
      </c>
      <c r="E8" s="603">
        <v>2183559.2999999998</v>
      </c>
      <c r="F8" s="604">
        <v>18075718.438999999</v>
      </c>
      <c r="G8" s="602">
        <v>14891</v>
      </c>
      <c r="H8" s="602">
        <v>597</v>
      </c>
      <c r="I8" s="602">
        <v>20589</v>
      </c>
      <c r="J8" s="603">
        <v>439758.12</v>
      </c>
      <c r="K8" s="603">
        <v>2042069.83</v>
      </c>
    </row>
    <row r="9" spans="1:11" s="468" customFormat="1" ht="18" customHeight="1">
      <c r="A9" s="601" t="s">
        <v>356</v>
      </c>
      <c r="B9" s="602">
        <v>30802</v>
      </c>
      <c r="C9" s="602">
        <v>278</v>
      </c>
      <c r="D9" s="602">
        <v>31024</v>
      </c>
      <c r="E9" s="603">
        <v>2283349.31</v>
      </c>
      <c r="F9" s="604">
        <v>19011716.522999901</v>
      </c>
      <c r="G9" s="602">
        <v>15011</v>
      </c>
      <c r="H9" s="602">
        <v>597</v>
      </c>
      <c r="I9" s="602">
        <v>20672</v>
      </c>
      <c r="J9" s="603">
        <v>445417.07</v>
      </c>
      <c r="K9" s="603">
        <v>2068009.11</v>
      </c>
    </row>
    <row r="10" spans="1:11" s="468" customFormat="1" ht="18" customHeight="1">
      <c r="A10" s="601" t="s">
        <v>384</v>
      </c>
      <c r="B10" s="602">
        <v>31125</v>
      </c>
      <c r="C10" s="602">
        <v>277</v>
      </c>
      <c r="D10" s="602">
        <v>31065</v>
      </c>
      <c r="E10" s="603">
        <v>2301443.69</v>
      </c>
      <c r="F10" s="604">
        <v>19610998.636</v>
      </c>
      <c r="G10" s="602">
        <v>15144</v>
      </c>
      <c r="H10" s="602">
        <v>594</v>
      </c>
      <c r="I10" s="602">
        <v>20689</v>
      </c>
      <c r="J10" s="603">
        <v>448038.24</v>
      </c>
      <c r="K10" s="603">
        <v>2147565.27</v>
      </c>
    </row>
    <row r="11" spans="1:11" s="468" customFormat="1" ht="18" customHeight="1">
      <c r="A11" s="601" t="s">
        <v>386</v>
      </c>
      <c r="B11" s="602">
        <v>31800</v>
      </c>
      <c r="C11" s="602">
        <v>277</v>
      </c>
      <c r="D11" s="602">
        <v>31221</v>
      </c>
      <c r="E11" s="603">
        <v>2330889.2799999998</v>
      </c>
      <c r="F11" s="604">
        <v>19770287.741999902</v>
      </c>
      <c r="G11" s="602">
        <v>15455</v>
      </c>
      <c r="H11" s="602">
        <v>593</v>
      </c>
      <c r="I11" s="602">
        <v>20694</v>
      </c>
      <c r="J11" s="603">
        <v>454306</v>
      </c>
      <c r="K11" s="603">
        <v>2077006.8529999999</v>
      </c>
    </row>
    <row r="12" spans="1:11" s="468" customFormat="1" ht="18" customHeight="1">
      <c r="A12" s="601" t="s">
        <v>392</v>
      </c>
      <c r="B12" s="602">
        <v>32285</v>
      </c>
      <c r="C12" s="602">
        <v>278</v>
      </c>
      <c r="D12" s="602">
        <v>31241</v>
      </c>
      <c r="E12" s="603">
        <v>2371425.25</v>
      </c>
      <c r="F12" s="604">
        <v>19989147.899999999</v>
      </c>
      <c r="G12" s="602">
        <v>15662</v>
      </c>
      <c r="H12" s="602">
        <v>591</v>
      </c>
      <c r="I12" s="602">
        <v>20706</v>
      </c>
      <c r="J12" s="603">
        <v>457347.94</v>
      </c>
      <c r="K12" s="603">
        <v>2092306.68</v>
      </c>
    </row>
    <row r="13" spans="1:11" s="468" customFormat="1" ht="18" customHeight="1">
      <c r="A13" s="601" t="s">
        <v>396</v>
      </c>
      <c r="B13" s="602">
        <v>32620</v>
      </c>
      <c r="C13" s="602">
        <v>278</v>
      </c>
      <c r="D13" s="602">
        <v>31268</v>
      </c>
      <c r="E13" s="603">
        <v>2376087.14</v>
      </c>
      <c r="F13" s="604">
        <v>21505640.532000002</v>
      </c>
      <c r="G13" s="602">
        <v>15788</v>
      </c>
      <c r="H13" s="602">
        <v>589</v>
      </c>
      <c r="I13" s="602">
        <v>20660</v>
      </c>
      <c r="J13" s="603">
        <v>458572.33</v>
      </c>
      <c r="K13" s="603">
        <v>2318158.59</v>
      </c>
    </row>
    <row r="14" spans="1:11" s="468" customFormat="1" ht="18" customHeight="1">
      <c r="A14" s="601" t="s">
        <v>457</v>
      </c>
      <c r="B14" s="602">
        <v>33170</v>
      </c>
      <c r="C14" s="602">
        <v>279</v>
      </c>
      <c r="D14" s="602">
        <v>31281</v>
      </c>
      <c r="E14" s="603">
        <v>2344400.94</v>
      </c>
      <c r="F14" s="604">
        <v>22751315.822000001</v>
      </c>
      <c r="G14" s="602">
        <v>15992</v>
      </c>
      <c r="H14" s="602">
        <v>589</v>
      </c>
      <c r="I14" s="602">
        <v>20670</v>
      </c>
      <c r="J14" s="603">
        <v>467476.87</v>
      </c>
      <c r="K14" s="603">
        <v>2504687.4</v>
      </c>
    </row>
    <row r="15" spans="1:11" s="468" customFormat="1" ht="18" customHeight="1">
      <c r="A15" s="601" t="s">
        <v>1095</v>
      </c>
      <c r="B15" s="602">
        <v>33513</v>
      </c>
      <c r="C15" s="602">
        <v>282</v>
      </c>
      <c r="D15" s="602">
        <v>31865</v>
      </c>
      <c r="E15" s="603">
        <v>2356734.2400000002</v>
      </c>
      <c r="F15" s="604">
        <v>23136161.530000001</v>
      </c>
      <c r="G15" s="602">
        <v>16135</v>
      </c>
      <c r="H15" s="602">
        <v>588</v>
      </c>
      <c r="I15" s="602">
        <v>20667</v>
      </c>
      <c r="J15" s="603">
        <v>467681.17</v>
      </c>
      <c r="K15" s="603">
        <v>2529145.7799999998</v>
      </c>
    </row>
    <row r="16" spans="1:11" s="468" customFormat="1" ht="18" customHeight="1">
      <c r="A16" s="601" t="s">
        <v>1184</v>
      </c>
      <c r="B16" s="602">
        <v>33800</v>
      </c>
      <c r="C16" s="602">
        <v>280</v>
      </c>
      <c r="D16" s="602">
        <v>31939</v>
      </c>
      <c r="E16" s="603">
        <v>2378492.41</v>
      </c>
      <c r="F16" s="604">
        <v>23832438.739</v>
      </c>
      <c r="G16" s="602">
        <v>16280</v>
      </c>
      <c r="H16" s="602">
        <v>592</v>
      </c>
      <c r="I16" s="602">
        <v>20695</v>
      </c>
      <c r="J16" s="603">
        <v>469162.99</v>
      </c>
      <c r="K16" s="603">
        <v>2826140.92</v>
      </c>
    </row>
    <row r="17" spans="1:11">
      <c r="A17" s="338" t="s">
        <v>837</v>
      </c>
      <c r="B17" s="354"/>
      <c r="C17" s="354"/>
      <c r="D17" s="354"/>
      <c r="E17" s="354"/>
      <c r="F17" s="354"/>
      <c r="G17" s="354"/>
      <c r="H17" s="354"/>
      <c r="I17" s="354"/>
      <c r="J17" s="354"/>
      <c r="K17" s="354"/>
    </row>
    <row r="18" spans="1:11">
      <c r="A18" s="338" t="s">
        <v>838</v>
      </c>
      <c r="B18" s="354"/>
      <c r="C18" s="354"/>
      <c r="D18" s="354"/>
      <c r="E18" s="354"/>
      <c r="F18" s="354"/>
      <c r="G18" s="354"/>
      <c r="H18" s="354"/>
      <c r="I18" s="354"/>
      <c r="J18" s="354"/>
      <c r="K18" s="354"/>
    </row>
    <row r="19" spans="1:11">
      <c r="A19" s="338" t="s">
        <v>839</v>
      </c>
      <c r="B19" s="354"/>
      <c r="C19" s="354"/>
      <c r="D19" s="354"/>
      <c r="E19" s="354"/>
      <c r="F19" s="354"/>
      <c r="G19" s="354"/>
      <c r="H19" s="354"/>
      <c r="I19" s="354"/>
      <c r="J19" s="354"/>
      <c r="K19" s="354"/>
    </row>
    <row r="20" spans="1:11">
      <c r="A20" s="338" t="s">
        <v>840</v>
      </c>
      <c r="B20" s="354"/>
      <c r="C20" s="354"/>
      <c r="D20" s="354"/>
      <c r="E20" s="354"/>
      <c r="F20" s="354"/>
      <c r="G20" s="354"/>
      <c r="H20" s="354"/>
      <c r="I20" s="354"/>
      <c r="J20" s="354"/>
      <c r="K20" s="354"/>
    </row>
    <row r="21" spans="1:11">
      <c r="A21" s="338" t="s">
        <v>1173</v>
      </c>
      <c r="B21" s="354"/>
      <c r="C21" s="354"/>
      <c r="D21" s="354"/>
      <c r="E21" s="354"/>
      <c r="F21" s="354"/>
      <c r="G21" s="354"/>
      <c r="H21" s="354"/>
      <c r="I21" s="354"/>
      <c r="J21" s="354"/>
      <c r="K21" s="354"/>
    </row>
    <row r="22" spans="1:11">
      <c r="A22" s="338" t="s">
        <v>829</v>
      </c>
      <c r="B22" s="354"/>
      <c r="C22" s="354"/>
      <c r="D22" s="354"/>
      <c r="E22" s="354"/>
      <c r="F22" s="354"/>
      <c r="G22" s="354"/>
      <c r="H22" s="354"/>
      <c r="I22" s="354"/>
      <c r="J22" s="354"/>
      <c r="K22" s="354"/>
    </row>
    <row r="23" spans="1:11">
      <c r="B23" s="354"/>
      <c r="C23" s="354"/>
      <c r="D23" s="354"/>
      <c r="E23" s="354"/>
      <c r="F23" s="354"/>
      <c r="G23" s="354"/>
      <c r="H23" s="354"/>
      <c r="I23" s="354"/>
      <c r="J23" s="354"/>
      <c r="K23" s="354"/>
    </row>
    <row r="24" spans="1:11">
      <c r="B24" s="354"/>
      <c r="C24" s="354"/>
      <c r="D24" s="354"/>
      <c r="E24" s="354"/>
      <c r="F24" s="354"/>
      <c r="G24" s="354"/>
      <c r="H24" s="354"/>
      <c r="I24" s="354"/>
      <c r="J24" s="354"/>
      <c r="K24" s="354"/>
    </row>
    <row r="25" spans="1:11">
      <c r="B25" s="354"/>
      <c r="C25" s="354"/>
      <c r="D25" s="354"/>
      <c r="E25" s="354"/>
      <c r="F25" s="354"/>
      <c r="G25" s="354"/>
      <c r="H25" s="354"/>
      <c r="I25" s="354"/>
      <c r="J25" s="354"/>
      <c r="K25" s="354"/>
    </row>
    <row r="27" spans="1:11">
      <c r="B27" s="354"/>
      <c r="C27" s="354"/>
      <c r="D27" s="354"/>
      <c r="E27" s="354"/>
      <c r="F27" s="354"/>
      <c r="G27" s="354"/>
      <c r="H27" s="354"/>
      <c r="I27" s="354"/>
      <c r="J27" s="354"/>
      <c r="K27" s="354"/>
    </row>
    <row r="28" spans="1:11">
      <c r="B28" s="354"/>
      <c r="C28" s="354"/>
      <c r="D28" s="354"/>
      <c r="E28" s="354"/>
      <c r="F28" s="354"/>
      <c r="G28" s="354"/>
      <c r="H28" s="354"/>
      <c r="I28" s="354"/>
      <c r="J28" s="354"/>
      <c r="K28" s="354"/>
    </row>
    <row r="29" spans="1:11">
      <c r="B29" s="354"/>
      <c r="C29" s="354"/>
      <c r="D29" s="354"/>
      <c r="E29" s="354"/>
      <c r="F29" s="354"/>
      <c r="G29" s="354"/>
      <c r="H29" s="354"/>
      <c r="I29" s="354"/>
      <c r="J29" s="354"/>
      <c r="K29" s="354"/>
    </row>
  </sheetData>
  <mergeCells count="4">
    <mergeCell ref="A1:J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N22"/>
  <sheetViews>
    <sheetView zoomScaleNormal="100" workbookViewId="0">
      <selection activeCell="F27" sqref="F27"/>
    </sheetView>
  </sheetViews>
  <sheetFormatPr defaultColWidth="8.85546875" defaultRowHeight="15"/>
  <cols>
    <col min="1" max="1" width="27.85546875" style="338" bestFit="1" customWidth="1"/>
    <col min="2" max="2" width="14.7109375" style="338" bestFit="1" customWidth="1"/>
    <col min="3" max="10" width="13.42578125" style="338" bestFit="1" customWidth="1"/>
    <col min="11" max="11" width="6.42578125" style="338" bestFit="1" customWidth="1"/>
    <col min="12" max="256" width="8.85546875" style="338"/>
    <col min="257" max="257" width="27.85546875" style="338" bestFit="1" customWidth="1"/>
    <col min="258" max="258" width="14.7109375" style="338" bestFit="1" customWidth="1"/>
    <col min="259" max="266" width="13.42578125" style="338" bestFit="1" customWidth="1"/>
    <col min="267" max="267" width="4.7109375" style="338" bestFit="1" customWidth="1"/>
    <col min="268" max="512" width="8.85546875" style="338"/>
    <col min="513" max="513" width="27.85546875" style="338" bestFit="1" customWidth="1"/>
    <col min="514" max="514" width="14.7109375" style="338" bestFit="1" customWidth="1"/>
    <col min="515" max="522" width="13.42578125" style="338" bestFit="1" customWidth="1"/>
    <col min="523" max="523" width="4.7109375" style="338" bestFit="1" customWidth="1"/>
    <col min="524" max="768" width="8.85546875" style="338"/>
    <col min="769" max="769" width="27.85546875" style="338" bestFit="1" customWidth="1"/>
    <col min="770" max="770" width="14.7109375" style="338" bestFit="1" customWidth="1"/>
    <col min="771" max="778" width="13.42578125" style="338" bestFit="1" customWidth="1"/>
    <col min="779" max="779" width="4.7109375" style="338" bestFit="1" customWidth="1"/>
    <col min="780" max="1024" width="8.85546875" style="338"/>
    <col min="1025" max="1025" width="27.85546875" style="338" bestFit="1" customWidth="1"/>
    <col min="1026" max="1026" width="14.7109375" style="338" bestFit="1" customWidth="1"/>
    <col min="1027" max="1034" width="13.42578125" style="338" bestFit="1" customWidth="1"/>
    <col min="1035" max="1035" width="4.7109375" style="338" bestFit="1" customWidth="1"/>
    <col min="1036" max="1280" width="8.85546875" style="338"/>
    <col min="1281" max="1281" width="27.85546875" style="338" bestFit="1" customWidth="1"/>
    <col min="1282" max="1282" width="14.7109375" style="338" bestFit="1" customWidth="1"/>
    <col min="1283" max="1290" width="13.42578125" style="338" bestFit="1" customWidth="1"/>
    <col min="1291" max="1291" width="4.7109375" style="338" bestFit="1" customWidth="1"/>
    <col min="1292" max="1536" width="8.85546875" style="338"/>
    <col min="1537" max="1537" width="27.85546875" style="338" bestFit="1" customWidth="1"/>
    <col min="1538" max="1538" width="14.7109375" style="338" bestFit="1" customWidth="1"/>
    <col min="1539" max="1546" width="13.42578125" style="338" bestFit="1" customWidth="1"/>
    <col min="1547" max="1547" width="4.7109375" style="338" bestFit="1" customWidth="1"/>
    <col min="1548" max="1792" width="8.85546875" style="338"/>
    <col min="1793" max="1793" width="27.85546875" style="338" bestFit="1" customWidth="1"/>
    <col min="1794" max="1794" width="14.7109375" style="338" bestFit="1" customWidth="1"/>
    <col min="1795" max="1802" width="13.42578125" style="338" bestFit="1" customWidth="1"/>
    <col min="1803" max="1803" width="4.7109375" style="338" bestFit="1" customWidth="1"/>
    <col min="1804" max="2048" width="8.85546875" style="338"/>
    <col min="2049" max="2049" width="27.85546875" style="338" bestFit="1" customWidth="1"/>
    <col min="2050" max="2050" width="14.7109375" style="338" bestFit="1" customWidth="1"/>
    <col min="2051" max="2058" width="13.42578125" style="338" bestFit="1" customWidth="1"/>
    <col min="2059" max="2059" width="4.7109375" style="338" bestFit="1" customWidth="1"/>
    <col min="2060" max="2304" width="8.85546875" style="338"/>
    <col min="2305" max="2305" width="27.85546875" style="338" bestFit="1" customWidth="1"/>
    <col min="2306" max="2306" width="14.7109375" style="338" bestFit="1" customWidth="1"/>
    <col min="2307" max="2314" width="13.42578125" style="338" bestFit="1" customWidth="1"/>
    <col min="2315" max="2315" width="4.7109375" style="338" bestFit="1" customWidth="1"/>
    <col min="2316" max="2560" width="8.85546875" style="338"/>
    <col min="2561" max="2561" width="27.85546875" style="338" bestFit="1" customWidth="1"/>
    <col min="2562" max="2562" width="14.7109375" style="338" bestFit="1" customWidth="1"/>
    <col min="2563" max="2570" width="13.42578125" style="338" bestFit="1" customWidth="1"/>
    <col min="2571" max="2571" width="4.7109375" style="338" bestFit="1" customWidth="1"/>
    <col min="2572" max="2816" width="8.85546875" style="338"/>
    <col min="2817" max="2817" width="27.85546875" style="338" bestFit="1" customWidth="1"/>
    <col min="2818" max="2818" width="14.7109375" style="338" bestFit="1" customWidth="1"/>
    <col min="2819" max="2826" width="13.42578125" style="338" bestFit="1" customWidth="1"/>
    <col min="2827" max="2827" width="4.7109375" style="338" bestFit="1" customWidth="1"/>
    <col min="2828" max="3072" width="8.85546875" style="338"/>
    <col min="3073" max="3073" width="27.85546875" style="338" bestFit="1" customWidth="1"/>
    <col min="3074" max="3074" width="14.7109375" style="338" bestFit="1" customWidth="1"/>
    <col min="3075" max="3082" width="13.42578125" style="338" bestFit="1" customWidth="1"/>
    <col min="3083" max="3083" width="4.7109375" style="338" bestFit="1" customWidth="1"/>
    <col min="3084" max="3328" width="8.85546875" style="338"/>
    <col min="3329" max="3329" width="27.85546875" style="338" bestFit="1" customWidth="1"/>
    <col min="3330" max="3330" width="14.7109375" style="338" bestFit="1" customWidth="1"/>
    <col min="3331" max="3338" width="13.42578125" style="338" bestFit="1" customWidth="1"/>
    <col min="3339" max="3339" width="4.7109375" style="338" bestFit="1" customWidth="1"/>
    <col min="3340" max="3584" width="8.85546875" style="338"/>
    <col min="3585" max="3585" width="27.85546875" style="338" bestFit="1" customWidth="1"/>
    <col min="3586" max="3586" width="14.7109375" style="338" bestFit="1" customWidth="1"/>
    <col min="3587" max="3594" width="13.42578125" style="338" bestFit="1" customWidth="1"/>
    <col min="3595" max="3595" width="4.7109375" style="338" bestFit="1" customWidth="1"/>
    <col min="3596" max="3840" width="8.85546875" style="338"/>
    <col min="3841" max="3841" width="27.85546875" style="338" bestFit="1" customWidth="1"/>
    <col min="3842" max="3842" width="14.7109375" style="338" bestFit="1" customWidth="1"/>
    <col min="3843" max="3850" width="13.42578125" style="338" bestFit="1" customWidth="1"/>
    <col min="3851" max="3851" width="4.7109375" style="338" bestFit="1" customWidth="1"/>
    <col min="3852" max="4096" width="8.85546875" style="338"/>
    <col min="4097" max="4097" width="27.85546875" style="338" bestFit="1" customWidth="1"/>
    <col min="4098" max="4098" width="14.7109375" style="338" bestFit="1" customWidth="1"/>
    <col min="4099" max="4106" width="13.42578125" style="338" bestFit="1" customWidth="1"/>
    <col min="4107" max="4107" width="4.7109375" style="338" bestFit="1" customWidth="1"/>
    <col min="4108" max="4352" width="8.85546875" style="338"/>
    <col min="4353" max="4353" width="27.85546875" style="338" bestFit="1" customWidth="1"/>
    <col min="4354" max="4354" width="14.7109375" style="338" bestFit="1" customWidth="1"/>
    <col min="4355" max="4362" width="13.42578125" style="338" bestFit="1" customWidth="1"/>
    <col min="4363" max="4363" width="4.7109375" style="338" bestFit="1" customWidth="1"/>
    <col min="4364" max="4608" width="8.85546875" style="338"/>
    <col min="4609" max="4609" width="27.85546875" style="338" bestFit="1" customWidth="1"/>
    <col min="4610" max="4610" width="14.7109375" style="338" bestFit="1" customWidth="1"/>
    <col min="4611" max="4618" width="13.42578125" style="338" bestFit="1" customWidth="1"/>
    <col min="4619" max="4619" width="4.7109375" style="338" bestFit="1" customWidth="1"/>
    <col min="4620" max="4864" width="8.85546875" style="338"/>
    <col min="4865" max="4865" width="27.85546875" style="338" bestFit="1" customWidth="1"/>
    <col min="4866" max="4866" width="14.7109375" style="338" bestFit="1" customWidth="1"/>
    <col min="4867" max="4874" width="13.42578125" style="338" bestFit="1" customWidth="1"/>
    <col min="4875" max="4875" width="4.7109375" style="338" bestFit="1" customWidth="1"/>
    <col min="4876" max="5120" width="8.85546875" style="338"/>
    <col min="5121" max="5121" width="27.85546875" style="338" bestFit="1" customWidth="1"/>
    <col min="5122" max="5122" width="14.7109375" style="338" bestFit="1" customWidth="1"/>
    <col min="5123" max="5130" width="13.42578125" style="338" bestFit="1" customWidth="1"/>
    <col min="5131" max="5131" width="4.7109375" style="338" bestFit="1" customWidth="1"/>
    <col min="5132" max="5376" width="8.85546875" style="338"/>
    <col min="5377" max="5377" width="27.85546875" style="338" bestFit="1" customWidth="1"/>
    <col min="5378" max="5378" width="14.7109375" style="338" bestFit="1" customWidth="1"/>
    <col min="5379" max="5386" width="13.42578125" style="338" bestFit="1" customWidth="1"/>
    <col min="5387" max="5387" width="4.7109375" style="338" bestFit="1" customWidth="1"/>
    <col min="5388" max="5632" width="8.85546875" style="338"/>
    <col min="5633" max="5633" width="27.85546875" style="338" bestFit="1" customWidth="1"/>
    <col min="5634" max="5634" width="14.7109375" style="338" bestFit="1" customWidth="1"/>
    <col min="5635" max="5642" width="13.42578125" style="338" bestFit="1" customWidth="1"/>
    <col min="5643" max="5643" width="4.7109375" style="338" bestFit="1" customWidth="1"/>
    <col min="5644" max="5888" width="8.85546875" style="338"/>
    <col min="5889" max="5889" width="27.85546875" style="338" bestFit="1" customWidth="1"/>
    <col min="5890" max="5890" width="14.7109375" style="338" bestFit="1" customWidth="1"/>
    <col min="5891" max="5898" width="13.42578125" style="338" bestFit="1" customWidth="1"/>
    <col min="5899" max="5899" width="4.7109375" style="338" bestFit="1" customWidth="1"/>
    <col min="5900" max="6144" width="8.85546875" style="338"/>
    <col min="6145" max="6145" width="27.85546875" style="338" bestFit="1" customWidth="1"/>
    <col min="6146" max="6146" width="14.7109375" style="338" bestFit="1" customWidth="1"/>
    <col min="6147" max="6154" width="13.42578125" style="338" bestFit="1" customWidth="1"/>
    <col min="6155" max="6155" width="4.7109375" style="338" bestFit="1" customWidth="1"/>
    <col min="6156" max="6400" width="8.85546875" style="338"/>
    <col min="6401" max="6401" width="27.85546875" style="338" bestFit="1" customWidth="1"/>
    <col min="6402" max="6402" width="14.7109375" style="338" bestFit="1" customWidth="1"/>
    <col min="6403" max="6410" width="13.42578125" style="338" bestFit="1" customWidth="1"/>
    <col min="6411" max="6411" width="4.7109375" style="338" bestFit="1" customWidth="1"/>
    <col min="6412" max="6656" width="8.85546875" style="338"/>
    <col min="6657" max="6657" width="27.85546875" style="338" bestFit="1" customWidth="1"/>
    <col min="6658" max="6658" width="14.7109375" style="338" bestFit="1" customWidth="1"/>
    <col min="6659" max="6666" width="13.42578125" style="338" bestFit="1" customWidth="1"/>
    <col min="6667" max="6667" width="4.7109375" style="338" bestFit="1" customWidth="1"/>
    <col min="6668" max="6912" width="8.85546875" style="338"/>
    <col min="6913" max="6913" width="27.85546875" style="338" bestFit="1" customWidth="1"/>
    <col min="6914" max="6914" width="14.7109375" style="338" bestFit="1" customWidth="1"/>
    <col min="6915" max="6922" width="13.42578125" style="338" bestFit="1" customWidth="1"/>
    <col min="6923" max="6923" width="4.7109375" style="338" bestFit="1" customWidth="1"/>
    <col min="6924" max="7168" width="8.85546875" style="338"/>
    <col min="7169" max="7169" width="27.85546875" style="338" bestFit="1" customWidth="1"/>
    <col min="7170" max="7170" width="14.7109375" style="338" bestFit="1" customWidth="1"/>
    <col min="7171" max="7178" width="13.42578125" style="338" bestFit="1" customWidth="1"/>
    <col min="7179" max="7179" width="4.7109375" style="338" bestFit="1" customWidth="1"/>
    <col min="7180" max="7424" width="8.85546875" style="338"/>
    <col min="7425" max="7425" width="27.85546875" style="338" bestFit="1" customWidth="1"/>
    <col min="7426" max="7426" width="14.7109375" style="338" bestFit="1" customWidth="1"/>
    <col min="7427" max="7434" width="13.42578125" style="338" bestFit="1" customWidth="1"/>
    <col min="7435" max="7435" width="4.7109375" style="338" bestFit="1" customWidth="1"/>
    <col min="7436" max="7680" width="8.85546875" style="338"/>
    <col min="7681" max="7681" width="27.85546875" style="338" bestFit="1" customWidth="1"/>
    <col min="7682" max="7682" width="14.7109375" style="338" bestFit="1" customWidth="1"/>
    <col min="7683" max="7690" width="13.42578125" style="338" bestFit="1" customWidth="1"/>
    <col min="7691" max="7691" width="4.7109375" style="338" bestFit="1" customWidth="1"/>
    <col min="7692" max="7936" width="8.85546875" style="338"/>
    <col min="7937" max="7937" width="27.85546875" style="338" bestFit="1" customWidth="1"/>
    <col min="7938" max="7938" width="14.7109375" style="338" bestFit="1" customWidth="1"/>
    <col min="7939" max="7946" width="13.42578125" style="338" bestFit="1" customWidth="1"/>
    <col min="7947" max="7947" width="4.7109375" style="338" bestFit="1" customWidth="1"/>
    <col min="7948" max="8192" width="8.85546875" style="338"/>
    <col min="8193" max="8193" width="27.85546875" style="338" bestFit="1" customWidth="1"/>
    <col min="8194" max="8194" width="14.7109375" style="338" bestFit="1" customWidth="1"/>
    <col min="8195" max="8202" width="13.42578125" style="338" bestFit="1" customWidth="1"/>
    <col min="8203" max="8203" width="4.7109375" style="338" bestFit="1" customWidth="1"/>
    <col min="8204" max="8448" width="8.85546875" style="338"/>
    <col min="8449" max="8449" width="27.85546875" style="338" bestFit="1" customWidth="1"/>
    <col min="8450" max="8450" width="14.7109375" style="338" bestFit="1" customWidth="1"/>
    <col min="8451" max="8458" width="13.42578125" style="338" bestFit="1" customWidth="1"/>
    <col min="8459" max="8459" width="4.7109375" style="338" bestFit="1" customWidth="1"/>
    <col min="8460" max="8704" width="8.85546875" style="338"/>
    <col min="8705" max="8705" width="27.85546875" style="338" bestFit="1" customWidth="1"/>
    <col min="8706" max="8706" width="14.7109375" style="338" bestFit="1" customWidth="1"/>
    <col min="8707" max="8714" width="13.42578125" style="338" bestFit="1" customWidth="1"/>
    <col min="8715" max="8715" width="4.7109375" style="338" bestFit="1" customWidth="1"/>
    <col min="8716" max="8960" width="8.85546875" style="338"/>
    <col min="8961" max="8961" width="27.85546875" style="338" bestFit="1" customWidth="1"/>
    <col min="8962" max="8962" width="14.7109375" style="338" bestFit="1" customWidth="1"/>
    <col min="8963" max="8970" width="13.42578125" style="338" bestFit="1" customWidth="1"/>
    <col min="8971" max="8971" width="4.7109375" style="338" bestFit="1" customWidth="1"/>
    <col min="8972" max="9216" width="8.85546875" style="338"/>
    <col min="9217" max="9217" width="27.85546875" style="338" bestFit="1" customWidth="1"/>
    <col min="9218" max="9218" width="14.7109375" style="338" bestFit="1" customWidth="1"/>
    <col min="9219" max="9226" width="13.42578125" style="338" bestFit="1" customWidth="1"/>
    <col min="9227" max="9227" width="4.7109375" style="338" bestFit="1" customWidth="1"/>
    <col min="9228" max="9472" width="8.85546875" style="338"/>
    <col min="9473" max="9473" width="27.85546875" style="338" bestFit="1" customWidth="1"/>
    <col min="9474" max="9474" width="14.7109375" style="338" bestFit="1" customWidth="1"/>
    <col min="9475" max="9482" width="13.42578125" style="338" bestFit="1" customWidth="1"/>
    <col min="9483" max="9483" width="4.7109375" style="338" bestFit="1" customWidth="1"/>
    <col min="9484" max="9728" width="8.85546875" style="338"/>
    <col min="9729" max="9729" width="27.85546875" style="338" bestFit="1" customWidth="1"/>
    <col min="9730" max="9730" width="14.7109375" style="338" bestFit="1" customWidth="1"/>
    <col min="9731" max="9738" width="13.42578125" style="338" bestFit="1" customWidth="1"/>
    <col min="9739" max="9739" width="4.7109375" style="338" bestFit="1" customWidth="1"/>
    <col min="9740" max="9984" width="8.85546875" style="338"/>
    <col min="9985" max="9985" width="27.85546875" style="338" bestFit="1" customWidth="1"/>
    <col min="9986" max="9986" width="14.7109375" style="338" bestFit="1" customWidth="1"/>
    <col min="9987" max="9994" width="13.42578125" style="338" bestFit="1" customWidth="1"/>
    <col min="9995" max="9995" width="4.7109375" style="338" bestFit="1" customWidth="1"/>
    <col min="9996" max="10240" width="8.85546875" style="338"/>
    <col min="10241" max="10241" width="27.85546875" style="338" bestFit="1" customWidth="1"/>
    <col min="10242" max="10242" width="14.7109375" style="338" bestFit="1" customWidth="1"/>
    <col min="10243" max="10250" width="13.42578125" style="338" bestFit="1" customWidth="1"/>
    <col min="10251" max="10251" width="4.7109375" style="338" bestFit="1" customWidth="1"/>
    <col min="10252" max="10496" width="8.85546875" style="338"/>
    <col min="10497" max="10497" width="27.85546875" style="338" bestFit="1" customWidth="1"/>
    <col min="10498" max="10498" width="14.7109375" style="338" bestFit="1" customWidth="1"/>
    <col min="10499" max="10506" width="13.42578125" style="338" bestFit="1" customWidth="1"/>
    <col min="10507" max="10507" width="4.7109375" style="338" bestFit="1" customWidth="1"/>
    <col min="10508" max="10752" width="8.85546875" style="338"/>
    <col min="10753" max="10753" width="27.85546875" style="338" bestFit="1" customWidth="1"/>
    <col min="10754" max="10754" width="14.7109375" style="338" bestFit="1" customWidth="1"/>
    <col min="10755" max="10762" width="13.42578125" style="338" bestFit="1" customWidth="1"/>
    <col min="10763" max="10763" width="4.7109375" style="338" bestFit="1" customWidth="1"/>
    <col min="10764" max="11008" width="8.85546875" style="338"/>
    <col min="11009" max="11009" width="27.85546875" style="338" bestFit="1" customWidth="1"/>
    <col min="11010" max="11010" width="14.7109375" style="338" bestFit="1" customWidth="1"/>
    <col min="11011" max="11018" width="13.42578125" style="338" bestFit="1" customWidth="1"/>
    <col min="11019" max="11019" width="4.7109375" style="338" bestFit="1" customWidth="1"/>
    <col min="11020" max="11264" width="8.85546875" style="338"/>
    <col min="11265" max="11265" width="27.85546875" style="338" bestFit="1" customWidth="1"/>
    <col min="11266" max="11266" width="14.7109375" style="338" bestFit="1" customWidth="1"/>
    <col min="11267" max="11274" width="13.42578125" style="338" bestFit="1" customWidth="1"/>
    <col min="11275" max="11275" width="4.7109375" style="338" bestFit="1" customWidth="1"/>
    <col min="11276" max="11520" width="8.85546875" style="338"/>
    <col min="11521" max="11521" width="27.85546875" style="338" bestFit="1" customWidth="1"/>
    <col min="11522" max="11522" width="14.7109375" style="338" bestFit="1" customWidth="1"/>
    <col min="11523" max="11530" width="13.42578125" style="338" bestFit="1" customWidth="1"/>
    <col min="11531" max="11531" width="4.7109375" style="338" bestFit="1" customWidth="1"/>
    <col min="11532" max="11776" width="8.85546875" style="338"/>
    <col min="11777" max="11777" width="27.85546875" style="338" bestFit="1" customWidth="1"/>
    <col min="11778" max="11778" width="14.7109375" style="338" bestFit="1" customWidth="1"/>
    <col min="11779" max="11786" width="13.42578125" style="338" bestFit="1" customWidth="1"/>
    <col min="11787" max="11787" width="4.7109375" style="338" bestFit="1" customWidth="1"/>
    <col min="11788" max="12032" width="8.85546875" style="338"/>
    <col min="12033" max="12033" width="27.85546875" style="338" bestFit="1" customWidth="1"/>
    <col min="12034" max="12034" width="14.7109375" style="338" bestFit="1" customWidth="1"/>
    <col min="12035" max="12042" width="13.42578125" style="338" bestFit="1" customWidth="1"/>
    <col min="12043" max="12043" width="4.7109375" style="338" bestFit="1" customWidth="1"/>
    <col min="12044" max="12288" width="8.85546875" style="338"/>
    <col min="12289" max="12289" width="27.85546875" style="338" bestFit="1" customWidth="1"/>
    <col min="12290" max="12290" width="14.7109375" style="338" bestFit="1" customWidth="1"/>
    <col min="12291" max="12298" width="13.42578125" style="338" bestFit="1" customWidth="1"/>
    <col min="12299" max="12299" width="4.7109375" style="338" bestFit="1" customWidth="1"/>
    <col min="12300" max="12544" width="8.85546875" style="338"/>
    <col min="12545" max="12545" width="27.85546875" style="338" bestFit="1" customWidth="1"/>
    <col min="12546" max="12546" width="14.7109375" style="338" bestFit="1" customWidth="1"/>
    <col min="12547" max="12554" width="13.42578125" style="338" bestFit="1" customWidth="1"/>
    <col min="12555" max="12555" width="4.7109375" style="338" bestFit="1" customWidth="1"/>
    <col min="12556" max="12800" width="8.85546875" style="338"/>
    <col min="12801" max="12801" width="27.85546875" style="338" bestFit="1" customWidth="1"/>
    <col min="12802" max="12802" width="14.7109375" style="338" bestFit="1" customWidth="1"/>
    <col min="12803" max="12810" width="13.42578125" style="338" bestFit="1" customWidth="1"/>
    <col min="12811" max="12811" width="4.7109375" style="338" bestFit="1" customWidth="1"/>
    <col min="12812" max="13056" width="8.85546875" style="338"/>
    <col min="13057" max="13057" width="27.85546875" style="338" bestFit="1" customWidth="1"/>
    <col min="13058" max="13058" width="14.7109375" style="338" bestFit="1" customWidth="1"/>
    <col min="13059" max="13066" width="13.42578125" style="338" bestFit="1" customWidth="1"/>
    <col min="13067" max="13067" width="4.7109375" style="338" bestFit="1" customWidth="1"/>
    <col min="13068" max="13312" width="8.85546875" style="338"/>
    <col min="13313" max="13313" width="27.85546875" style="338" bestFit="1" customWidth="1"/>
    <col min="13314" max="13314" width="14.7109375" style="338" bestFit="1" customWidth="1"/>
    <col min="13315" max="13322" width="13.42578125" style="338" bestFit="1" customWidth="1"/>
    <col min="13323" max="13323" width="4.7109375" style="338" bestFit="1" customWidth="1"/>
    <col min="13324" max="13568" width="8.85546875" style="338"/>
    <col min="13569" max="13569" width="27.85546875" style="338" bestFit="1" customWidth="1"/>
    <col min="13570" max="13570" width="14.7109375" style="338" bestFit="1" customWidth="1"/>
    <col min="13571" max="13578" width="13.42578125" style="338" bestFit="1" customWidth="1"/>
    <col min="13579" max="13579" width="4.7109375" style="338" bestFit="1" customWidth="1"/>
    <col min="13580" max="13824" width="8.85546875" style="338"/>
    <col min="13825" max="13825" width="27.85546875" style="338" bestFit="1" customWidth="1"/>
    <col min="13826" max="13826" width="14.7109375" style="338" bestFit="1" customWidth="1"/>
    <col min="13827" max="13834" width="13.42578125" style="338" bestFit="1" customWidth="1"/>
    <col min="13835" max="13835" width="4.7109375" style="338" bestFit="1" customWidth="1"/>
    <col min="13836" max="14080" width="8.85546875" style="338"/>
    <col min="14081" max="14081" width="27.85546875" style="338" bestFit="1" customWidth="1"/>
    <col min="14082" max="14082" width="14.7109375" style="338" bestFit="1" customWidth="1"/>
    <col min="14083" max="14090" width="13.42578125" style="338" bestFit="1" customWidth="1"/>
    <col min="14091" max="14091" width="4.7109375" style="338" bestFit="1" customWidth="1"/>
    <col min="14092" max="14336" width="8.85546875" style="338"/>
    <col min="14337" max="14337" width="27.85546875" style="338" bestFit="1" customWidth="1"/>
    <col min="14338" max="14338" width="14.7109375" style="338" bestFit="1" customWidth="1"/>
    <col min="14339" max="14346" width="13.42578125" style="338" bestFit="1" customWidth="1"/>
    <col min="14347" max="14347" width="4.7109375" style="338" bestFit="1" customWidth="1"/>
    <col min="14348" max="14592" width="8.85546875" style="338"/>
    <col min="14593" max="14593" width="27.85546875" style="338" bestFit="1" customWidth="1"/>
    <col min="14594" max="14594" width="14.7109375" style="338" bestFit="1" customWidth="1"/>
    <col min="14595" max="14602" width="13.42578125" style="338" bestFit="1" customWidth="1"/>
    <col min="14603" max="14603" width="4.7109375" style="338" bestFit="1" customWidth="1"/>
    <col min="14604" max="14848" width="8.85546875" style="338"/>
    <col min="14849" max="14849" width="27.85546875" style="338" bestFit="1" customWidth="1"/>
    <col min="14850" max="14850" width="14.7109375" style="338" bestFit="1" customWidth="1"/>
    <col min="14851" max="14858" width="13.42578125" style="338" bestFit="1" customWidth="1"/>
    <col min="14859" max="14859" width="4.7109375" style="338" bestFit="1" customWidth="1"/>
    <col min="14860" max="15104" width="8.85546875" style="338"/>
    <col min="15105" max="15105" width="27.85546875" style="338" bestFit="1" customWidth="1"/>
    <col min="15106" max="15106" width="14.7109375" style="338" bestFit="1" customWidth="1"/>
    <col min="15107" max="15114" width="13.42578125" style="338" bestFit="1" customWidth="1"/>
    <col min="15115" max="15115" width="4.7109375" style="338" bestFit="1" customWidth="1"/>
    <col min="15116" max="15360" width="8.85546875" style="338"/>
    <col min="15361" max="15361" width="27.85546875" style="338" bestFit="1" customWidth="1"/>
    <col min="15362" max="15362" width="14.7109375" style="338" bestFit="1" customWidth="1"/>
    <col min="15363" max="15370" width="13.42578125" style="338" bestFit="1" customWidth="1"/>
    <col min="15371" max="15371" width="4.7109375" style="338" bestFit="1" customWidth="1"/>
    <col min="15372" max="15616" width="8.85546875" style="338"/>
    <col min="15617" max="15617" width="27.85546875" style="338" bestFit="1" customWidth="1"/>
    <col min="15618" max="15618" width="14.7109375" style="338" bestFit="1" customWidth="1"/>
    <col min="15619" max="15626" width="13.42578125" style="338" bestFit="1" customWidth="1"/>
    <col min="15627" max="15627" width="4.7109375" style="338" bestFit="1" customWidth="1"/>
    <col min="15628" max="15872" width="8.85546875" style="338"/>
    <col min="15873" max="15873" width="27.85546875" style="338" bestFit="1" customWidth="1"/>
    <col min="15874" max="15874" width="14.7109375" style="338" bestFit="1" customWidth="1"/>
    <col min="15875" max="15882" width="13.42578125" style="338" bestFit="1" customWidth="1"/>
    <col min="15883" max="15883" width="4.7109375" style="338" bestFit="1" customWidth="1"/>
    <col min="15884" max="16128" width="8.85546875" style="338"/>
    <col min="16129" max="16129" width="27.85546875" style="338" bestFit="1" customWidth="1"/>
    <col min="16130" max="16130" width="14.7109375" style="338" bestFit="1" customWidth="1"/>
    <col min="16131" max="16138" width="13.42578125" style="338" bestFit="1" customWidth="1"/>
    <col min="16139" max="16139" width="4.7109375" style="338" bestFit="1" customWidth="1"/>
    <col min="16140" max="16384" width="8.85546875" style="338"/>
  </cols>
  <sheetData>
    <row r="1" spans="1:14" ht="15.75" customHeight="1">
      <c r="A1" s="605" t="s">
        <v>841</v>
      </c>
    </row>
    <row r="2" spans="1:14" s="468" customFormat="1" ht="18" customHeight="1">
      <c r="A2" s="1358" t="s">
        <v>786</v>
      </c>
      <c r="B2" s="1358" t="s">
        <v>804</v>
      </c>
      <c r="C2" s="1421" t="s">
        <v>780</v>
      </c>
      <c r="D2" s="1423"/>
      <c r="E2" s="1421" t="s">
        <v>239</v>
      </c>
      <c r="F2" s="1423"/>
      <c r="G2" s="1421" t="s">
        <v>150</v>
      </c>
      <c r="H2" s="1423"/>
      <c r="I2" s="1421" t="s">
        <v>53</v>
      </c>
      <c r="J2" s="1423"/>
    </row>
    <row r="3" spans="1:14" s="468" customFormat="1" ht="16.5" customHeight="1">
      <c r="A3" s="1360"/>
      <c r="B3" s="1360"/>
      <c r="C3" s="606" t="s">
        <v>65</v>
      </c>
      <c r="D3" s="606" t="s">
        <v>842</v>
      </c>
      <c r="E3" s="606" t="s">
        <v>65</v>
      </c>
      <c r="F3" s="606" t="s">
        <v>842</v>
      </c>
      <c r="G3" s="606" t="s">
        <v>65</v>
      </c>
      <c r="H3" s="606" t="s">
        <v>842</v>
      </c>
      <c r="I3" s="606" t="s">
        <v>65</v>
      </c>
      <c r="J3" s="606" t="s">
        <v>842</v>
      </c>
    </row>
    <row r="4" spans="1:14" s="468" customFormat="1" ht="18" customHeight="1">
      <c r="A4" s="1425" t="s">
        <v>805</v>
      </c>
      <c r="B4" s="1426"/>
      <c r="C4" s="1426"/>
      <c r="D4" s="1426"/>
      <c r="E4" s="1426"/>
      <c r="F4" s="1426"/>
      <c r="G4" s="1426"/>
      <c r="H4" s="1426"/>
      <c r="I4" s="1426"/>
      <c r="J4" s="1427"/>
    </row>
    <row r="5" spans="1:14" s="468" customFormat="1" ht="27" customHeight="1">
      <c r="A5" s="607" t="s">
        <v>843</v>
      </c>
      <c r="B5" s="606" t="s">
        <v>844</v>
      </c>
      <c r="C5" s="602">
        <v>848</v>
      </c>
      <c r="D5" s="602">
        <v>2285</v>
      </c>
      <c r="E5" s="602">
        <v>5654</v>
      </c>
      <c r="F5" s="602">
        <v>24265</v>
      </c>
      <c r="G5" s="602">
        <v>238</v>
      </c>
      <c r="H5" s="602">
        <v>5114</v>
      </c>
      <c r="I5" s="602">
        <v>6740</v>
      </c>
      <c r="J5" s="602">
        <v>31664</v>
      </c>
      <c r="K5" s="608"/>
      <c r="L5" s="608"/>
      <c r="M5" s="608"/>
      <c r="N5" s="608"/>
    </row>
    <row r="6" spans="1:14" s="468" customFormat="1" ht="15" customHeight="1">
      <c r="A6" s="607" t="s">
        <v>845</v>
      </c>
      <c r="B6" s="606" t="s">
        <v>844</v>
      </c>
      <c r="C6" s="602">
        <v>9016</v>
      </c>
      <c r="D6" s="602">
        <v>9079</v>
      </c>
      <c r="E6" s="602">
        <v>11479</v>
      </c>
      <c r="F6" s="602">
        <v>25990</v>
      </c>
      <c r="G6" s="602">
        <v>4817</v>
      </c>
      <c r="H6" s="602">
        <v>27332</v>
      </c>
      <c r="I6" s="602">
        <v>25312</v>
      </c>
      <c r="J6" s="602">
        <v>62401</v>
      </c>
      <c r="K6" s="608"/>
      <c r="L6" s="608"/>
      <c r="M6" s="608"/>
      <c r="N6" s="608"/>
    </row>
    <row r="7" spans="1:14" s="468" customFormat="1" ht="15" customHeight="1">
      <c r="A7" s="607" t="s">
        <v>846</v>
      </c>
      <c r="B7" s="606" t="s">
        <v>847</v>
      </c>
      <c r="C7" s="603">
        <v>115213.86367999999</v>
      </c>
      <c r="D7" s="603">
        <v>1022769.66601</v>
      </c>
      <c r="E7" s="603">
        <v>5705836.8755999999</v>
      </c>
      <c r="F7" s="604">
        <v>11410835.632470001</v>
      </c>
      <c r="G7" s="603">
        <v>330466.11026208999</v>
      </c>
      <c r="H7" s="603">
        <v>5199836.0137103703</v>
      </c>
      <c r="I7" s="603">
        <v>6151516.8495420897</v>
      </c>
      <c r="J7" s="604">
        <v>17633441.312190399</v>
      </c>
      <c r="K7" s="608"/>
      <c r="L7" s="608"/>
      <c r="M7" s="608"/>
      <c r="N7" s="608"/>
    </row>
    <row r="8" spans="1:14" s="468" customFormat="1" ht="15" customHeight="1">
      <c r="A8" s="607" t="s">
        <v>848</v>
      </c>
      <c r="B8" s="350" t="s">
        <v>849</v>
      </c>
      <c r="C8" s="603">
        <v>2943895.2681004601</v>
      </c>
      <c r="D8" s="603">
        <v>696163.15781417699</v>
      </c>
      <c r="E8" s="604">
        <v>17470906.348407902</v>
      </c>
      <c r="F8" s="603">
        <v>1082805.49841933</v>
      </c>
      <c r="G8" s="603">
        <v>599786.59971855604</v>
      </c>
      <c r="H8" s="603">
        <v>1038883.25285524</v>
      </c>
      <c r="I8" s="604">
        <v>21014588.216226902</v>
      </c>
      <c r="J8" s="603">
        <v>2817851.9090887499</v>
      </c>
      <c r="K8" s="608"/>
      <c r="L8" s="608"/>
      <c r="M8" s="608"/>
      <c r="N8" s="608"/>
    </row>
    <row r="9" spans="1:14" s="468" customFormat="1" ht="27" customHeight="1">
      <c r="A9" s="607" t="s">
        <v>850</v>
      </c>
      <c r="B9" s="350" t="s">
        <v>851</v>
      </c>
      <c r="C9" s="602">
        <v>1836.9721500000001</v>
      </c>
      <c r="D9" s="602">
        <v>51504.629950000002</v>
      </c>
      <c r="E9" s="603">
        <v>163199.23931</v>
      </c>
      <c r="F9" s="602">
        <v>0</v>
      </c>
      <c r="G9" s="602">
        <v>6095.1665121599999</v>
      </c>
      <c r="H9" s="602">
        <v>330.48642000000001</v>
      </c>
      <c r="I9" s="603">
        <v>171131.37797216</v>
      </c>
      <c r="J9" s="602">
        <v>51835.116370000003</v>
      </c>
      <c r="K9" s="608"/>
      <c r="L9" s="608"/>
      <c r="M9" s="608"/>
      <c r="N9" s="608"/>
    </row>
    <row r="10" spans="1:14" s="468" customFormat="1" ht="15" customHeight="1">
      <c r="A10" s="607" t="s">
        <v>852</v>
      </c>
      <c r="B10" s="350" t="s">
        <v>849</v>
      </c>
      <c r="C10" s="603">
        <v>102053.1399966</v>
      </c>
      <c r="D10" s="602">
        <v>15357.37077</v>
      </c>
      <c r="E10" s="603">
        <v>456253.30663180503</v>
      </c>
      <c r="F10" s="602">
        <v>0</v>
      </c>
      <c r="G10" s="602">
        <v>3539.1694368399999</v>
      </c>
      <c r="H10" s="602">
        <v>821.69265727000004</v>
      </c>
      <c r="I10" s="603">
        <v>561845.61606524501</v>
      </c>
      <c r="J10" s="602">
        <v>16179.063427270001</v>
      </c>
      <c r="K10" s="608"/>
      <c r="L10" s="608"/>
      <c r="M10" s="608"/>
      <c r="N10" s="608"/>
    </row>
    <row r="11" spans="1:14" s="468" customFormat="1" ht="18" customHeight="1">
      <c r="A11" s="1425" t="s">
        <v>806</v>
      </c>
      <c r="B11" s="1426"/>
      <c r="C11" s="1426"/>
      <c r="D11" s="1426"/>
      <c r="E11" s="1426"/>
      <c r="F11" s="1426"/>
      <c r="G11" s="1426"/>
      <c r="H11" s="1426"/>
      <c r="I11" s="1426"/>
      <c r="J11" s="1427"/>
      <c r="K11" s="608"/>
      <c r="L11" s="608"/>
      <c r="M11" s="608"/>
      <c r="N11" s="608"/>
    </row>
    <row r="12" spans="1:14" s="468" customFormat="1" ht="27" customHeight="1">
      <c r="A12" s="607" t="s">
        <v>853</v>
      </c>
      <c r="B12" s="606" t="s">
        <v>844</v>
      </c>
      <c r="C12" s="602">
        <v>603</v>
      </c>
      <c r="D12" s="602">
        <v>485</v>
      </c>
      <c r="E12" s="602">
        <v>5749</v>
      </c>
      <c r="F12" s="602">
        <v>9242</v>
      </c>
      <c r="G12" s="602">
        <v>2492</v>
      </c>
      <c r="H12" s="602">
        <v>721</v>
      </c>
      <c r="I12" s="602">
        <v>8844</v>
      </c>
      <c r="J12" s="602">
        <v>10448</v>
      </c>
      <c r="K12" s="608"/>
      <c r="L12" s="608"/>
      <c r="M12" s="608"/>
      <c r="N12" s="608"/>
    </row>
    <row r="13" spans="1:14" s="468" customFormat="1" ht="15" customHeight="1">
      <c r="A13" s="607" t="s">
        <v>854</v>
      </c>
      <c r="B13" s="606" t="s">
        <v>844</v>
      </c>
      <c r="C13" s="602">
        <v>7347</v>
      </c>
      <c r="D13" s="602">
        <v>4270</v>
      </c>
      <c r="E13" s="602">
        <v>5888</v>
      </c>
      <c r="F13" s="602">
        <v>9548</v>
      </c>
      <c r="G13" s="602">
        <v>20627</v>
      </c>
      <c r="H13" s="602">
        <v>2310</v>
      </c>
      <c r="I13" s="602">
        <v>33862</v>
      </c>
      <c r="J13" s="602">
        <v>16128</v>
      </c>
      <c r="K13" s="608"/>
      <c r="L13" s="608"/>
      <c r="M13" s="608"/>
      <c r="N13" s="608"/>
    </row>
    <row r="14" spans="1:14" s="468" customFormat="1" ht="15" customHeight="1">
      <c r="A14" s="607" t="s">
        <v>846</v>
      </c>
      <c r="B14" s="606" t="s">
        <v>855</v>
      </c>
      <c r="C14" s="602">
        <v>3594.26</v>
      </c>
      <c r="D14" s="602">
        <v>171810.71</v>
      </c>
      <c r="E14" s="603">
        <v>2374891.52</v>
      </c>
      <c r="F14" s="603">
        <v>1736858.35</v>
      </c>
      <c r="G14" s="603">
        <v>259138.95</v>
      </c>
      <c r="H14" s="603">
        <v>145336.14000000001</v>
      </c>
      <c r="I14" s="603">
        <v>2637624.73</v>
      </c>
      <c r="J14" s="603">
        <v>2054005.2</v>
      </c>
      <c r="K14" s="608"/>
      <c r="L14" s="608"/>
      <c r="M14" s="608"/>
      <c r="N14" s="608"/>
    </row>
    <row r="15" spans="1:14" s="468" customFormat="1" ht="15" customHeight="1">
      <c r="A15" s="607" t="s">
        <v>848</v>
      </c>
      <c r="B15" s="606" t="s">
        <v>849</v>
      </c>
      <c r="C15" s="602">
        <v>75870.289999999994</v>
      </c>
      <c r="D15" s="602">
        <v>45910.68</v>
      </c>
      <c r="E15" s="603">
        <v>2412607.12</v>
      </c>
      <c r="F15" s="603">
        <v>137264.26</v>
      </c>
      <c r="G15" s="602">
        <v>127063.05</v>
      </c>
      <c r="H15" s="602">
        <v>27425.52</v>
      </c>
      <c r="I15" s="603">
        <v>2615540.46</v>
      </c>
      <c r="J15" s="603">
        <v>210600.46</v>
      </c>
      <c r="K15" s="608"/>
      <c r="L15" s="608"/>
      <c r="M15" s="608"/>
      <c r="N15" s="608"/>
    </row>
    <row r="16" spans="1:14" s="468" customFormat="1" ht="27" customHeight="1">
      <c r="A16" s="607" t="s">
        <v>856</v>
      </c>
      <c r="B16" s="606" t="s">
        <v>855</v>
      </c>
      <c r="C16" s="602">
        <v>31.64</v>
      </c>
      <c r="D16" s="602">
        <v>0</v>
      </c>
      <c r="E16" s="603">
        <v>206224.73</v>
      </c>
      <c r="F16" s="602">
        <v>0</v>
      </c>
      <c r="G16" s="602">
        <v>29006.5</v>
      </c>
      <c r="H16" s="602">
        <v>0</v>
      </c>
      <c r="I16" s="603">
        <v>235262.87</v>
      </c>
      <c r="J16" s="602">
        <v>0</v>
      </c>
      <c r="K16" s="608"/>
      <c r="L16" s="608"/>
      <c r="M16" s="608"/>
      <c r="N16" s="608"/>
    </row>
    <row r="17" spans="1:14" s="468" customFormat="1" ht="15" customHeight="1">
      <c r="A17" s="607" t="s">
        <v>857</v>
      </c>
      <c r="B17" s="606" t="s">
        <v>849</v>
      </c>
      <c r="C17" s="602">
        <v>378.55</v>
      </c>
      <c r="D17" s="602">
        <v>0</v>
      </c>
      <c r="E17" s="603">
        <v>216090.85</v>
      </c>
      <c r="F17" s="602">
        <v>0</v>
      </c>
      <c r="G17" s="602">
        <v>15178.11</v>
      </c>
      <c r="H17" s="602">
        <v>0</v>
      </c>
      <c r="I17" s="603">
        <v>231647.51</v>
      </c>
      <c r="J17" s="602">
        <v>0</v>
      </c>
      <c r="K17" s="608"/>
      <c r="L17" s="608"/>
      <c r="M17" s="608"/>
      <c r="N17" s="608"/>
    </row>
    <row r="18" spans="1:14" s="468" customFormat="1" ht="14.25" customHeight="1">
      <c r="A18" s="1424" t="s">
        <v>545</v>
      </c>
      <c r="B18" s="1424"/>
      <c r="C18" s="1424"/>
      <c r="D18" s="1424"/>
      <c r="E18" s="1424"/>
      <c r="F18" s="1424"/>
      <c r="G18" s="1424"/>
      <c r="H18" s="1424"/>
      <c r="I18" s="1424"/>
      <c r="J18" s="1424"/>
    </row>
    <row r="19" spans="1:14" s="468" customFormat="1" ht="14.25" customHeight="1">
      <c r="A19" s="1424" t="s">
        <v>858</v>
      </c>
      <c r="B19" s="1424"/>
      <c r="C19" s="1424"/>
      <c r="D19" s="1424"/>
      <c r="E19" s="1424"/>
      <c r="F19" s="1424"/>
      <c r="G19" s="1424"/>
      <c r="H19" s="1424"/>
      <c r="I19" s="1424"/>
      <c r="J19" s="1424"/>
    </row>
    <row r="20" spans="1:14" s="468" customFormat="1" ht="14.25" customHeight="1">
      <c r="A20" s="1424" t="s">
        <v>859</v>
      </c>
      <c r="B20" s="1424"/>
      <c r="C20" s="1424"/>
      <c r="D20" s="1424"/>
      <c r="E20" s="1424"/>
      <c r="F20" s="1424"/>
      <c r="G20" s="1424"/>
      <c r="H20" s="1424"/>
      <c r="I20" s="1424"/>
      <c r="J20" s="1424"/>
    </row>
    <row r="21" spans="1:14" s="468" customFormat="1" ht="13.5" customHeight="1">
      <c r="A21" s="1424" t="s">
        <v>1173</v>
      </c>
      <c r="B21" s="1424"/>
      <c r="C21" s="1424"/>
      <c r="D21" s="1424"/>
      <c r="E21" s="1424"/>
      <c r="F21" s="1424"/>
      <c r="G21" s="1424"/>
      <c r="H21" s="1424"/>
      <c r="I21" s="1424"/>
      <c r="J21" s="1424"/>
    </row>
    <row r="22" spans="1:14" s="468" customFormat="1">
      <c r="A22" s="1424" t="s">
        <v>829</v>
      </c>
      <c r="B22" s="1424"/>
      <c r="C22" s="1424"/>
      <c r="D22" s="1424"/>
      <c r="E22" s="1424"/>
      <c r="F22" s="1424"/>
      <c r="G22" s="1424"/>
      <c r="H22" s="1424"/>
      <c r="I22" s="1424"/>
      <c r="J22" s="1424"/>
    </row>
  </sheetData>
  <mergeCells count="13">
    <mergeCell ref="A22:J22"/>
    <mergeCell ref="A4:J4"/>
    <mergeCell ref="A11:J11"/>
    <mergeCell ref="A18:J18"/>
    <mergeCell ref="A19:J19"/>
    <mergeCell ref="A20:J20"/>
    <mergeCell ref="A21:J21"/>
    <mergeCell ref="I2:J2"/>
    <mergeCell ref="A2:A3"/>
    <mergeCell ref="B2:B3"/>
    <mergeCell ref="C2:D2"/>
    <mergeCell ref="E2:F2"/>
    <mergeCell ref="G2:H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Q30"/>
  <sheetViews>
    <sheetView zoomScaleNormal="100" zoomScaleSheetLayoutView="145" workbookViewId="0">
      <selection activeCell="D23" sqref="D23"/>
    </sheetView>
  </sheetViews>
  <sheetFormatPr defaultColWidth="9.140625" defaultRowHeight="12.75"/>
  <cols>
    <col min="1" max="1" width="9.140625" style="609" customWidth="1"/>
    <col min="2" max="2" width="18.5703125" style="609" customWidth="1"/>
    <col min="3" max="3" width="10.140625" style="609" bestFit="1" customWidth="1"/>
    <col min="4" max="4" width="11.42578125" style="609" customWidth="1"/>
    <col min="5" max="5" width="7.42578125" style="609" bestFit="1" customWidth="1"/>
    <col min="6" max="6" width="7.140625" style="609" bestFit="1" customWidth="1"/>
    <col min="7" max="7" width="8.7109375" style="609" bestFit="1" customWidth="1"/>
    <col min="8" max="8" width="8.7109375" style="609" customWidth="1"/>
    <col min="9" max="9" width="10.42578125" style="609" customWidth="1"/>
    <col min="10" max="10" width="8.7109375" style="609" customWidth="1"/>
    <col min="11" max="11" width="6.7109375" style="609" bestFit="1" customWidth="1"/>
    <col min="12" max="12" width="10.140625" style="609" bestFit="1" customWidth="1"/>
    <col min="13" max="16384" width="9.140625" style="609"/>
  </cols>
  <sheetData>
    <row r="1" spans="1:17" ht="15.75" thickBot="1">
      <c r="A1" s="663" t="s">
        <v>860</v>
      </c>
      <c r="B1" s="663"/>
      <c r="C1" s="663"/>
      <c r="D1" s="663"/>
      <c r="E1" s="663"/>
      <c r="F1" s="663"/>
      <c r="G1" s="663"/>
      <c r="H1" s="663"/>
      <c r="I1" s="663"/>
      <c r="J1" s="663"/>
      <c r="K1" s="663"/>
    </row>
    <row r="2" spans="1:17" ht="15">
      <c r="A2" s="1433" t="s">
        <v>861</v>
      </c>
      <c r="B2" s="1435" t="s">
        <v>786</v>
      </c>
      <c r="C2" s="1437" t="s">
        <v>862</v>
      </c>
      <c r="D2" s="1438"/>
      <c r="E2" s="1438"/>
      <c r="F2" s="1438"/>
      <c r="G2" s="1438"/>
      <c r="H2" s="1439"/>
      <c r="I2" s="1428" t="s">
        <v>863</v>
      </c>
      <c r="J2" s="1428"/>
      <c r="K2" s="1428"/>
      <c r="L2" s="1429"/>
    </row>
    <row r="3" spans="1:17" ht="51">
      <c r="A3" s="1434"/>
      <c r="B3" s="1436"/>
      <c r="C3" s="984" t="s">
        <v>864</v>
      </c>
      <c r="D3" s="989" t="s">
        <v>865</v>
      </c>
      <c r="E3" s="984" t="s">
        <v>866</v>
      </c>
      <c r="F3" s="984" t="s">
        <v>867</v>
      </c>
      <c r="G3" s="989" t="s">
        <v>868</v>
      </c>
      <c r="H3" s="989" t="s">
        <v>869</v>
      </c>
      <c r="I3" s="984" t="s">
        <v>864</v>
      </c>
      <c r="J3" s="989" t="s">
        <v>865</v>
      </c>
      <c r="K3" s="984" t="s">
        <v>866</v>
      </c>
      <c r="L3" s="664" t="s">
        <v>867</v>
      </c>
    </row>
    <row r="4" spans="1:17">
      <c r="A4" s="1430" t="s">
        <v>870</v>
      </c>
      <c r="B4" s="665" t="s">
        <v>871</v>
      </c>
      <c r="C4" s="666">
        <v>23</v>
      </c>
      <c r="D4" s="666">
        <v>1</v>
      </c>
      <c r="E4" s="666">
        <v>0</v>
      </c>
      <c r="F4" s="666">
        <v>0</v>
      </c>
      <c r="G4" s="666">
        <v>0</v>
      </c>
      <c r="H4" s="667">
        <v>1</v>
      </c>
      <c r="I4" s="667">
        <v>7</v>
      </c>
      <c r="J4" s="666">
        <v>0</v>
      </c>
      <c r="K4" s="666">
        <v>0</v>
      </c>
      <c r="L4" s="668">
        <v>0</v>
      </c>
      <c r="M4" s="669"/>
    </row>
    <row r="5" spans="1:17">
      <c r="A5" s="1430"/>
      <c r="B5" s="665" t="s">
        <v>872</v>
      </c>
      <c r="C5" s="666">
        <v>22</v>
      </c>
      <c r="D5" s="666">
        <v>1</v>
      </c>
      <c r="E5" s="666">
        <v>0</v>
      </c>
      <c r="F5" s="666">
        <v>0</v>
      </c>
      <c r="G5" s="666">
        <v>0</v>
      </c>
      <c r="H5" s="667">
        <v>5</v>
      </c>
      <c r="I5" s="667">
        <v>7</v>
      </c>
      <c r="J5" s="666">
        <v>0</v>
      </c>
      <c r="K5" s="666">
        <v>0</v>
      </c>
      <c r="L5" s="668">
        <v>0</v>
      </c>
      <c r="M5" s="669"/>
    </row>
    <row r="6" spans="1:17">
      <c r="A6" s="1430"/>
      <c r="B6" s="665" t="s">
        <v>873</v>
      </c>
      <c r="C6" s="666">
        <v>16</v>
      </c>
      <c r="D6" s="666">
        <v>1</v>
      </c>
      <c r="E6" s="666">
        <v>0</v>
      </c>
      <c r="F6" s="666">
        <v>0</v>
      </c>
      <c r="G6" s="666">
        <v>0</v>
      </c>
      <c r="H6" s="667">
        <v>2</v>
      </c>
      <c r="I6" s="667">
        <v>3</v>
      </c>
      <c r="J6" s="666">
        <v>0</v>
      </c>
      <c r="K6" s="666">
        <v>0</v>
      </c>
      <c r="L6" s="668">
        <v>0</v>
      </c>
      <c r="M6" s="669"/>
    </row>
    <row r="7" spans="1:17">
      <c r="A7" s="1430" t="s">
        <v>874</v>
      </c>
      <c r="B7" s="665" t="s">
        <v>871</v>
      </c>
      <c r="C7" s="670">
        <v>8</v>
      </c>
      <c r="D7" s="670">
        <v>5</v>
      </c>
      <c r="E7" s="670">
        <v>2</v>
      </c>
      <c r="F7" s="670">
        <v>2</v>
      </c>
      <c r="G7" s="670">
        <v>0</v>
      </c>
      <c r="H7" s="670">
        <v>2</v>
      </c>
      <c r="I7" s="670">
        <v>0</v>
      </c>
      <c r="J7" s="670">
        <v>2</v>
      </c>
      <c r="K7" s="670">
        <v>2</v>
      </c>
      <c r="L7" s="668">
        <v>1</v>
      </c>
    </row>
    <row r="8" spans="1:17">
      <c r="A8" s="1430"/>
      <c r="B8" s="665" t="s">
        <v>872</v>
      </c>
      <c r="C8" s="670">
        <v>8</v>
      </c>
      <c r="D8" s="670">
        <v>5</v>
      </c>
      <c r="E8" s="670">
        <v>2</v>
      </c>
      <c r="F8" s="670">
        <v>2</v>
      </c>
      <c r="G8" s="670">
        <v>0</v>
      </c>
      <c r="H8" s="670">
        <v>2</v>
      </c>
      <c r="I8" s="670">
        <v>0</v>
      </c>
      <c r="J8" s="670">
        <v>2</v>
      </c>
      <c r="K8" s="670">
        <v>2</v>
      </c>
      <c r="L8" s="668">
        <v>1</v>
      </c>
    </row>
    <row r="9" spans="1:17">
      <c r="A9" s="1430"/>
      <c r="B9" s="665" t="s">
        <v>873</v>
      </c>
      <c r="C9" s="670">
        <v>5</v>
      </c>
      <c r="D9" s="670">
        <v>5</v>
      </c>
      <c r="E9" s="670">
        <v>2</v>
      </c>
      <c r="F9" s="670">
        <v>2</v>
      </c>
      <c r="G9" s="670">
        <v>0</v>
      </c>
      <c r="H9" s="670">
        <v>2</v>
      </c>
      <c r="I9" s="670">
        <v>0</v>
      </c>
      <c r="J9" s="670">
        <v>2</v>
      </c>
      <c r="K9" s="670">
        <v>2</v>
      </c>
      <c r="L9" s="668">
        <v>1</v>
      </c>
    </row>
    <row r="10" spans="1:17">
      <c r="A10" s="1430" t="s">
        <v>875</v>
      </c>
      <c r="B10" s="665" t="s">
        <v>871</v>
      </c>
      <c r="C10" s="670">
        <v>9</v>
      </c>
      <c r="D10" s="670">
        <v>1</v>
      </c>
      <c r="E10" s="670">
        <v>0</v>
      </c>
      <c r="F10" s="670">
        <v>0</v>
      </c>
      <c r="G10" s="666">
        <v>1</v>
      </c>
      <c r="H10" s="670">
        <v>0</v>
      </c>
      <c r="I10" s="670">
        <v>0</v>
      </c>
      <c r="J10" s="670">
        <v>0</v>
      </c>
      <c r="K10" s="670">
        <v>0</v>
      </c>
      <c r="L10" s="671">
        <v>0</v>
      </c>
      <c r="N10" s="609" t="s">
        <v>876</v>
      </c>
    </row>
    <row r="11" spans="1:17">
      <c r="A11" s="1430"/>
      <c r="B11" s="665" t="s">
        <v>872</v>
      </c>
      <c r="C11" s="670">
        <v>9</v>
      </c>
      <c r="D11" s="670">
        <v>1</v>
      </c>
      <c r="E11" s="670">
        <v>0</v>
      </c>
      <c r="F11" s="670">
        <v>0</v>
      </c>
      <c r="G11" s="666">
        <v>1</v>
      </c>
      <c r="H11" s="670">
        <v>0</v>
      </c>
      <c r="I11" s="670">
        <v>0</v>
      </c>
      <c r="J11" s="670">
        <v>0</v>
      </c>
      <c r="K11" s="670">
        <v>0</v>
      </c>
      <c r="L11" s="671">
        <v>0</v>
      </c>
    </row>
    <row r="12" spans="1:17">
      <c r="A12" s="1430"/>
      <c r="B12" s="665" t="s">
        <v>873</v>
      </c>
      <c r="C12" s="670">
        <v>1</v>
      </c>
      <c r="D12" s="670">
        <v>1</v>
      </c>
      <c r="E12" s="670">
        <v>0</v>
      </c>
      <c r="F12" s="670">
        <v>0</v>
      </c>
      <c r="G12" s="670">
        <v>0</v>
      </c>
      <c r="H12" s="672">
        <v>0</v>
      </c>
      <c r="I12" s="670">
        <v>0</v>
      </c>
      <c r="J12" s="670">
        <v>0</v>
      </c>
      <c r="K12" s="670">
        <v>0</v>
      </c>
      <c r="L12" s="668">
        <v>0</v>
      </c>
    </row>
    <row r="13" spans="1:17">
      <c r="A13" s="1430" t="s">
        <v>87</v>
      </c>
      <c r="B13" s="665" t="s">
        <v>871</v>
      </c>
      <c r="C13" s="670">
        <v>8</v>
      </c>
      <c r="D13" s="670">
        <v>3</v>
      </c>
      <c r="E13" s="670">
        <v>2</v>
      </c>
      <c r="F13" s="670">
        <v>2</v>
      </c>
      <c r="G13" s="670">
        <v>0</v>
      </c>
      <c r="H13" s="670">
        <v>0</v>
      </c>
      <c r="I13" s="670">
        <v>0</v>
      </c>
      <c r="J13" s="670">
        <v>0</v>
      </c>
      <c r="K13" s="670">
        <v>2</v>
      </c>
      <c r="L13" s="668">
        <v>0</v>
      </c>
      <c r="Q13" s="609" t="s">
        <v>876</v>
      </c>
    </row>
    <row r="14" spans="1:17">
      <c r="A14" s="1430"/>
      <c r="B14" s="665" t="s">
        <v>872</v>
      </c>
      <c r="C14" s="670">
        <v>8</v>
      </c>
      <c r="D14" s="670">
        <v>3</v>
      </c>
      <c r="E14" s="670">
        <v>2</v>
      </c>
      <c r="F14" s="670">
        <v>2</v>
      </c>
      <c r="G14" s="670">
        <v>0</v>
      </c>
      <c r="H14" s="670">
        <v>0</v>
      </c>
      <c r="I14" s="670">
        <v>0</v>
      </c>
      <c r="J14" s="670">
        <v>0</v>
      </c>
      <c r="K14" s="670">
        <v>2</v>
      </c>
      <c r="L14" s="668">
        <v>0</v>
      </c>
    </row>
    <row r="15" spans="1:17">
      <c r="A15" s="1430"/>
      <c r="B15" s="665" t="s">
        <v>873</v>
      </c>
      <c r="C15" s="670">
        <v>2</v>
      </c>
      <c r="D15" s="670">
        <v>0</v>
      </c>
      <c r="E15" s="670">
        <v>1</v>
      </c>
      <c r="F15" s="670">
        <v>0</v>
      </c>
      <c r="G15" s="670">
        <v>0</v>
      </c>
      <c r="H15" s="670">
        <v>0</v>
      </c>
      <c r="I15" s="670">
        <v>0</v>
      </c>
      <c r="J15" s="670">
        <v>0</v>
      </c>
      <c r="K15" s="670">
        <v>2</v>
      </c>
      <c r="L15" s="668">
        <v>0</v>
      </c>
      <c r="O15" s="609" t="s">
        <v>876</v>
      </c>
    </row>
    <row r="16" spans="1:17">
      <c r="A16" s="1430" t="s">
        <v>88</v>
      </c>
      <c r="B16" s="665" t="s">
        <v>871</v>
      </c>
      <c r="C16" s="670">
        <v>1</v>
      </c>
      <c r="D16" s="670">
        <v>1</v>
      </c>
      <c r="E16" s="673" t="s">
        <v>877</v>
      </c>
      <c r="F16" s="670">
        <v>1</v>
      </c>
      <c r="G16" s="670">
        <v>0</v>
      </c>
      <c r="H16" s="674">
        <v>0</v>
      </c>
      <c r="I16" s="670">
        <v>0</v>
      </c>
      <c r="J16" s="675">
        <v>1</v>
      </c>
      <c r="K16" s="670">
        <v>2</v>
      </c>
      <c r="L16" s="670">
        <v>0</v>
      </c>
    </row>
    <row r="17" spans="1:14">
      <c r="A17" s="1430"/>
      <c r="B17" s="665" t="s">
        <v>872</v>
      </c>
      <c r="C17" s="670">
        <v>1</v>
      </c>
      <c r="D17" s="670">
        <v>1</v>
      </c>
      <c r="E17" s="673" t="s">
        <v>877</v>
      </c>
      <c r="F17" s="670">
        <v>1</v>
      </c>
      <c r="G17" s="670">
        <v>0</v>
      </c>
      <c r="H17" s="670">
        <v>0</v>
      </c>
      <c r="I17" s="670">
        <v>0</v>
      </c>
      <c r="J17" s="675">
        <v>1</v>
      </c>
      <c r="K17" s="670">
        <v>2</v>
      </c>
      <c r="L17" s="670">
        <v>0</v>
      </c>
    </row>
    <row r="18" spans="1:14" ht="13.5" thickBot="1">
      <c r="A18" s="1431"/>
      <c r="B18" s="676" t="s">
        <v>873</v>
      </c>
      <c r="C18" s="677">
        <v>1</v>
      </c>
      <c r="D18" s="677">
        <v>1</v>
      </c>
      <c r="E18" s="1003">
        <v>1</v>
      </c>
      <c r="F18" s="677">
        <v>0</v>
      </c>
      <c r="G18" s="677">
        <v>0</v>
      </c>
      <c r="H18" s="677">
        <v>0</v>
      </c>
      <c r="I18" s="677">
        <v>0</v>
      </c>
      <c r="J18" s="678">
        <v>0</v>
      </c>
      <c r="K18" s="677">
        <v>1</v>
      </c>
      <c r="L18" s="677">
        <v>0</v>
      </c>
    </row>
    <row r="19" spans="1:14" ht="15" customHeight="1">
      <c r="A19" s="1432" t="s">
        <v>1183</v>
      </c>
      <c r="B19" s="1432"/>
      <c r="C19" s="1432"/>
      <c r="D19" s="1432"/>
      <c r="E19" s="679"/>
      <c r="F19" s="679"/>
      <c r="G19" s="679"/>
      <c r="H19" s="679"/>
      <c r="I19" s="679"/>
      <c r="J19" s="679"/>
      <c r="K19" s="679"/>
      <c r="L19" s="679"/>
    </row>
    <row r="20" spans="1:14">
      <c r="A20" s="680" t="s">
        <v>878</v>
      </c>
      <c r="B20" s="681"/>
      <c r="C20" s="681"/>
      <c r="D20" s="681"/>
      <c r="E20" s="682"/>
      <c r="F20" s="682"/>
      <c r="G20" s="682"/>
      <c r="H20" s="682"/>
      <c r="I20" s="682"/>
      <c r="J20" s="682"/>
      <c r="K20" s="682"/>
      <c r="N20" s="609" t="s">
        <v>876</v>
      </c>
    </row>
    <row r="21" spans="1:14">
      <c r="B21" s="682"/>
      <c r="C21" s="682"/>
      <c r="D21" s="682"/>
      <c r="E21" s="682"/>
      <c r="F21" s="682"/>
      <c r="G21" s="682"/>
      <c r="H21" s="682"/>
      <c r="I21" s="682"/>
      <c r="J21" s="682"/>
      <c r="K21" s="682"/>
    </row>
    <row r="30" spans="1:14">
      <c r="E30" s="609" t="s">
        <v>876</v>
      </c>
    </row>
  </sheetData>
  <mergeCells count="10">
    <mergeCell ref="A16:A18"/>
    <mergeCell ref="A19:D19"/>
    <mergeCell ref="A2:A3"/>
    <mergeCell ref="B2:B3"/>
    <mergeCell ref="C2:H2"/>
    <mergeCell ref="I2:L2"/>
    <mergeCell ref="A4:A6"/>
    <mergeCell ref="A7:A9"/>
    <mergeCell ref="A10:A12"/>
    <mergeCell ref="A13:A1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N22"/>
  <sheetViews>
    <sheetView zoomScaleNormal="100" zoomScaleSheetLayoutView="115" workbookViewId="0">
      <selection activeCell="G33" sqref="G33"/>
    </sheetView>
  </sheetViews>
  <sheetFormatPr defaultColWidth="9.140625" defaultRowHeight="12.75"/>
  <cols>
    <col min="1" max="1" width="15.7109375" style="684" customWidth="1"/>
    <col min="2" max="2" width="9" style="684" customWidth="1"/>
    <col min="3" max="5" width="10" style="684" customWidth="1"/>
    <col min="6" max="16384" width="9.140625" style="684"/>
  </cols>
  <sheetData>
    <row r="1" spans="1:14" s="683" customFormat="1" ht="15.75" thickBot="1">
      <c r="A1" s="1440" t="s">
        <v>879</v>
      </c>
      <c r="B1" s="1440"/>
      <c r="C1" s="1440"/>
      <c r="D1" s="1440"/>
      <c r="E1" s="1440"/>
      <c r="F1" s="1440"/>
      <c r="G1" s="1440"/>
      <c r="H1" s="1440"/>
      <c r="I1" s="1440"/>
    </row>
    <row r="2" spans="1:14">
      <c r="A2" s="1441" t="s">
        <v>779</v>
      </c>
      <c r="B2" s="1443" t="s">
        <v>880</v>
      </c>
      <c r="C2" s="1444"/>
      <c r="D2" s="1444"/>
      <c r="E2" s="1445"/>
      <c r="F2" s="1443" t="s">
        <v>881</v>
      </c>
      <c r="G2" s="1444"/>
      <c r="H2" s="1444"/>
      <c r="I2" s="1445"/>
    </row>
    <row r="3" spans="1:14">
      <c r="A3" s="1442"/>
      <c r="B3" s="685" t="s">
        <v>882</v>
      </c>
      <c r="C3" s="686" t="s">
        <v>115</v>
      </c>
      <c r="D3" s="686" t="s">
        <v>116</v>
      </c>
      <c r="E3" s="687" t="s">
        <v>117</v>
      </c>
      <c r="F3" s="685" t="s">
        <v>882</v>
      </c>
      <c r="G3" s="686" t="s">
        <v>115</v>
      </c>
      <c r="H3" s="686" t="s">
        <v>116</v>
      </c>
      <c r="I3" s="687" t="s">
        <v>117</v>
      </c>
    </row>
    <row r="4" spans="1:14" s="691" customFormat="1">
      <c r="A4" s="688" t="s">
        <v>58</v>
      </c>
      <c r="B4" s="689">
        <v>10576</v>
      </c>
      <c r="C4" s="689">
        <v>10951</v>
      </c>
      <c r="D4" s="689">
        <v>7662.5</v>
      </c>
      <c r="E4" s="689">
        <v>8255.52</v>
      </c>
      <c r="F4" s="690">
        <v>3450.3</v>
      </c>
      <c r="G4" s="690">
        <v>3674</v>
      </c>
      <c r="H4" s="690">
        <v>2841.01</v>
      </c>
      <c r="I4" s="690">
        <v>3179.85</v>
      </c>
    </row>
    <row r="5" spans="1:14" s="1172" customFormat="1">
      <c r="A5" s="1171" t="s">
        <v>883</v>
      </c>
      <c r="B5" s="689">
        <v>8252.44</v>
      </c>
      <c r="C5" s="689">
        <v>11201.11</v>
      </c>
      <c r="D5" s="689">
        <v>7866.92</v>
      </c>
      <c r="E5" s="689">
        <f>E16</f>
        <v>10919.97</v>
      </c>
      <c r="F5" s="689">
        <v>3176.19</v>
      </c>
      <c r="G5" s="689">
        <v>3965.37</v>
      </c>
      <c r="H5" s="689">
        <v>3027.91</v>
      </c>
      <c r="I5" s="689">
        <f>I16</f>
        <v>3900.63</v>
      </c>
    </row>
    <row r="6" spans="1:14">
      <c r="A6" s="692">
        <v>43922</v>
      </c>
      <c r="B6" s="693">
        <v>8252.44</v>
      </c>
      <c r="C6" s="693">
        <v>8848.23</v>
      </c>
      <c r="D6" s="693">
        <v>7866.92</v>
      </c>
      <c r="E6" s="693">
        <v>8007.17</v>
      </c>
      <c r="F6" s="693">
        <v>3176.19</v>
      </c>
      <c r="G6" s="693">
        <v>3266.84</v>
      </c>
      <c r="H6" s="693">
        <v>3027.91</v>
      </c>
      <c r="I6" s="693">
        <v>3173.55</v>
      </c>
    </row>
    <row r="7" spans="1:14">
      <c r="A7" s="692">
        <v>43953</v>
      </c>
      <c r="B7" s="693">
        <v>8008.34</v>
      </c>
      <c r="C7" s="693">
        <v>8720.91</v>
      </c>
      <c r="D7" s="693">
        <v>7994.73</v>
      </c>
      <c r="E7" s="693">
        <v>8705.89</v>
      </c>
      <c r="F7" s="693">
        <v>3173.55</v>
      </c>
      <c r="G7" s="693">
        <v>3233.2</v>
      </c>
      <c r="H7" s="693">
        <v>3121.31</v>
      </c>
      <c r="I7" s="693">
        <v>3188.11</v>
      </c>
      <c r="N7" s="684" t="s">
        <v>876</v>
      </c>
    </row>
    <row r="8" spans="1:14">
      <c r="A8" s="692">
        <v>43985</v>
      </c>
      <c r="B8" s="693">
        <v>8707.2099999999991</v>
      </c>
      <c r="C8" s="693">
        <v>9102.58</v>
      </c>
      <c r="D8" s="693">
        <v>8664.18</v>
      </c>
      <c r="E8" s="693">
        <v>9089.06</v>
      </c>
      <c r="F8" s="693">
        <v>3188.11</v>
      </c>
      <c r="G8" s="693">
        <v>3343.94</v>
      </c>
      <c r="H8" s="693">
        <v>3187.68</v>
      </c>
      <c r="I8" s="693">
        <v>3238.66</v>
      </c>
    </row>
    <row r="9" spans="1:14">
      <c r="A9" s="692">
        <v>44016</v>
      </c>
      <c r="B9" s="693">
        <v>9090.0400000000009</v>
      </c>
      <c r="C9" s="693">
        <v>10047.24</v>
      </c>
      <c r="D9" s="693">
        <v>8971.64</v>
      </c>
      <c r="E9" s="693">
        <v>10001.06</v>
      </c>
      <c r="F9" s="693">
        <v>3238.66</v>
      </c>
      <c r="G9" s="693">
        <v>3300.47</v>
      </c>
      <c r="H9" s="693">
        <v>3219.8</v>
      </c>
      <c r="I9" s="693">
        <v>3265.1</v>
      </c>
    </row>
    <row r="10" spans="1:14">
      <c r="A10" s="692">
        <v>44048</v>
      </c>
      <c r="B10" s="693">
        <v>10001.56</v>
      </c>
      <c r="C10" s="693">
        <v>10649.58</v>
      </c>
      <c r="D10" s="693">
        <v>9773.19</v>
      </c>
      <c r="E10" s="693">
        <v>10227.33</v>
      </c>
      <c r="F10" s="693">
        <v>3265.1</v>
      </c>
      <c r="G10" s="693">
        <v>3586.59</v>
      </c>
      <c r="H10" s="693">
        <v>3262.37</v>
      </c>
      <c r="I10" s="693">
        <v>3582.76</v>
      </c>
    </row>
    <row r="11" spans="1:14">
      <c r="A11" s="692">
        <v>44080</v>
      </c>
      <c r="B11" s="693">
        <v>10232.200000000001</v>
      </c>
      <c r="C11" s="693">
        <v>10320.48</v>
      </c>
      <c r="D11" s="693">
        <v>9540</v>
      </c>
      <c r="E11" s="693">
        <v>9714.1</v>
      </c>
      <c r="F11" s="693">
        <v>3582.76</v>
      </c>
      <c r="G11" s="693">
        <v>3627.98</v>
      </c>
      <c r="H11" s="693">
        <v>3427.34</v>
      </c>
      <c r="I11" s="693">
        <v>3614.93</v>
      </c>
    </row>
    <row r="12" spans="1:14">
      <c r="A12" s="692">
        <v>44111</v>
      </c>
      <c r="B12" s="693">
        <v>9716</v>
      </c>
      <c r="C12" s="693">
        <v>10117.290000000001</v>
      </c>
      <c r="D12" s="693">
        <v>9545.2900000000009</v>
      </c>
      <c r="E12" s="693">
        <v>9873.66</v>
      </c>
      <c r="F12" s="693">
        <v>3614.93</v>
      </c>
      <c r="G12" s="693">
        <v>3775.65</v>
      </c>
      <c r="H12" s="693">
        <v>3606.34</v>
      </c>
      <c r="I12" s="693">
        <v>3757.53</v>
      </c>
    </row>
    <row r="13" spans="1:14">
      <c r="A13" s="692">
        <v>44143</v>
      </c>
      <c r="B13" s="693">
        <v>9874.4599999999991</v>
      </c>
      <c r="C13" s="693">
        <v>10348.870000000001</v>
      </c>
      <c r="D13" s="693">
        <v>9836.4500000000007</v>
      </c>
      <c r="E13" s="693">
        <v>10149.030000000001</v>
      </c>
      <c r="F13" s="693">
        <v>3757.53</v>
      </c>
      <c r="G13" s="693">
        <v>3879.42</v>
      </c>
      <c r="H13" s="693">
        <v>3697.93</v>
      </c>
      <c r="I13" s="693">
        <v>3771.47</v>
      </c>
    </row>
    <row r="14" spans="1:14" s="695" customFormat="1">
      <c r="A14" s="694">
        <v>44174</v>
      </c>
      <c r="B14" s="693">
        <v>10150.93</v>
      </c>
      <c r="C14" s="693">
        <v>10807.87</v>
      </c>
      <c r="D14" s="693">
        <v>10120.5</v>
      </c>
      <c r="E14" s="693">
        <v>10503.78</v>
      </c>
      <c r="F14" s="693">
        <v>3771.47</v>
      </c>
      <c r="G14" s="693">
        <v>3776.49</v>
      </c>
      <c r="H14" s="693">
        <v>3557.72</v>
      </c>
      <c r="I14" s="693">
        <v>3666.01</v>
      </c>
    </row>
    <row r="15" spans="1:14" s="695" customFormat="1">
      <c r="A15" s="694">
        <v>44206</v>
      </c>
      <c r="B15" s="693">
        <v>10504.23</v>
      </c>
      <c r="C15" s="693">
        <v>10954.41</v>
      </c>
      <c r="D15" s="693">
        <v>10461.049999999999</v>
      </c>
      <c r="E15" s="693">
        <v>10638.01</v>
      </c>
      <c r="F15" s="693">
        <v>3666.01</v>
      </c>
      <c r="G15" s="693">
        <v>3811.18</v>
      </c>
      <c r="H15" s="693">
        <v>3633.45</v>
      </c>
      <c r="I15" s="693">
        <v>3708.02</v>
      </c>
    </row>
    <row r="16" spans="1:14" s="695" customFormat="1">
      <c r="A16" s="694">
        <v>44228</v>
      </c>
      <c r="B16" s="693">
        <v>10638.35</v>
      </c>
      <c r="C16" s="693">
        <v>11201.11</v>
      </c>
      <c r="D16" s="693">
        <v>10448.049999999999</v>
      </c>
      <c r="E16" s="693">
        <v>10919.97</v>
      </c>
      <c r="F16" s="693">
        <v>3708.02</v>
      </c>
      <c r="G16" s="693">
        <v>3965.37</v>
      </c>
      <c r="H16" s="693">
        <v>3895.04</v>
      </c>
      <c r="I16" s="693">
        <v>3900.63</v>
      </c>
    </row>
    <row r="17" spans="1:9">
      <c r="A17" s="684" t="str">
        <f>'[1]1'!A8</f>
        <v>$ indicates as on February 28, 2021</v>
      </c>
      <c r="B17" s="691"/>
      <c r="C17" s="691"/>
      <c r="D17" s="696"/>
      <c r="E17" s="696"/>
      <c r="F17" s="697"/>
      <c r="G17" s="697"/>
      <c r="H17" s="697"/>
      <c r="I17" s="697"/>
    </row>
    <row r="18" spans="1:9" s="691" customFormat="1">
      <c r="A18" s="698" t="s">
        <v>884</v>
      </c>
      <c r="B18" s="699"/>
      <c r="C18" s="699"/>
      <c r="D18" s="697"/>
      <c r="E18" s="697" t="s">
        <v>876</v>
      </c>
      <c r="F18" s="697"/>
      <c r="G18" s="697"/>
      <c r="H18" s="697" t="s">
        <v>876</v>
      </c>
      <c r="I18" s="697"/>
    </row>
    <row r="19" spans="1:9" s="691" customFormat="1">
      <c r="A19" s="697"/>
      <c r="B19" s="700"/>
      <c r="C19" s="697"/>
      <c r="D19" s="697"/>
      <c r="E19" s="697"/>
      <c r="F19" s="697"/>
      <c r="G19" s="697"/>
      <c r="H19" s="697"/>
      <c r="I19" s="697"/>
    </row>
    <row r="22" spans="1:9">
      <c r="G22" s="684" t="s">
        <v>876</v>
      </c>
    </row>
  </sheetData>
  <mergeCells count="4">
    <mergeCell ref="A1:I1"/>
    <mergeCell ref="A2:A3"/>
    <mergeCell ref="B2:E2"/>
    <mergeCell ref="F2:I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X59"/>
  <sheetViews>
    <sheetView topLeftCell="A4" zoomScaleNormal="100" zoomScaleSheetLayoutView="130" workbookViewId="0">
      <selection activeCell="J25" sqref="J25"/>
    </sheetView>
  </sheetViews>
  <sheetFormatPr defaultColWidth="9.140625" defaultRowHeight="12.75"/>
  <cols>
    <col min="1" max="1" width="9.140625" style="701" customWidth="1"/>
    <col min="2" max="2" width="7.140625" style="701" customWidth="1"/>
    <col min="3" max="3" width="11.28515625" style="701" bestFit="1" customWidth="1"/>
    <col min="4" max="5" width="10" style="701" customWidth="1"/>
    <col min="6" max="6" width="9.5703125" style="701" customWidth="1"/>
    <col min="7" max="7" width="11.140625" style="701" customWidth="1"/>
    <col min="8" max="8" width="10.7109375" style="701" customWidth="1"/>
    <col min="9" max="9" width="9.5703125" style="701" customWidth="1"/>
    <col min="10" max="10" width="12.5703125" style="701" customWidth="1"/>
    <col min="11" max="11" width="8.85546875" style="701" customWidth="1"/>
    <col min="12" max="12" width="11.140625" style="701" customWidth="1"/>
    <col min="13" max="13" width="10.140625" style="701" customWidth="1"/>
    <col min="14" max="14" width="10.42578125" style="701" customWidth="1"/>
    <col min="15" max="15" width="10.42578125" style="730" customWidth="1"/>
    <col min="16" max="16" width="12.42578125" style="701" bestFit="1" customWidth="1"/>
    <col min="17" max="20" width="8.5703125" style="701" customWidth="1"/>
    <col min="21" max="21" width="11" style="701" customWidth="1"/>
    <col min="22" max="22" width="8.140625" style="701" bestFit="1" customWidth="1"/>
    <col min="23" max="23" width="9.140625" style="701"/>
    <col min="24" max="24" width="10.5703125" style="701" customWidth="1"/>
    <col min="25" max="16384" width="9.140625" style="701"/>
  </cols>
  <sheetData>
    <row r="1" spans="1:24" s="702" customFormat="1" ht="15">
      <c r="A1" s="1451" t="s">
        <v>885</v>
      </c>
      <c r="B1" s="1451"/>
      <c r="C1" s="1451"/>
      <c r="D1" s="1451"/>
      <c r="E1" s="1451"/>
      <c r="F1" s="1451"/>
      <c r="G1" s="1451"/>
      <c r="H1" s="1451"/>
      <c r="I1" s="1451"/>
      <c r="J1" s="1451"/>
      <c r="K1" s="1451"/>
      <c r="L1" s="1451"/>
      <c r="M1" s="1451"/>
      <c r="N1" s="1451"/>
      <c r="O1" s="1451"/>
      <c r="P1" s="1451"/>
      <c r="Q1" s="1451"/>
      <c r="R1" s="988"/>
      <c r="S1" s="988"/>
      <c r="T1" s="988"/>
      <c r="U1" s="701"/>
    </row>
    <row r="2" spans="1:24" s="702" customFormat="1" ht="15.75">
      <c r="A2" s="1452" t="s">
        <v>862</v>
      </c>
      <c r="B2" s="1453"/>
      <c r="C2" s="1453"/>
      <c r="D2" s="1453"/>
      <c r="E2" s="1453"/>
      <c r="F2" s="1453"/>
      <c r="G2" s="1453"/>
      <c r="H2" s="1453"/>
      <c r="I2" s="1453"/>
      <c r="J2" s="1453"/>
      <c r="K2" s="1453"/>
      <c r="L2" s="1453"/>
      <c r="M2" s="1453"/>
      <c r="N2" s="1453"/>
      <c r="O2" s="1453"/>
      <c r="P2" s="1453"/>
      <c r="Q2" s="1453"/>
      <c r="R2" s="1453"/>
      <c r="S2" s="1453"/>
      <c r="T2" s="1453"/>
      <c r="U2" s="1453"/>
      <c r="V2" s="1453"/>
      <c r="W2" s="1453"/>
      <c r="X2" s="1454"/>
    </row>
    <row r="3" spans="1:24" s="703" customFormat="1" ht="27.75" customHeight="1">
      <c r="A3" s="1448" t="s">
        <v>779</v>
      </c>
      <c r="B3" s="1448" t="s">
        <v>886</v>
      </c>
      <c r="C3" s="1455" t="s">
        <v>864</v>
      </c>
      <c r="D3" s="1456"/>
      <c r="E3" s="1457"/>
      <c r="F3" s="1450" t="s">
        <v>887</v>
      </c>
      <c r="G3" s="1450"/>
      <c r="H3" s="1450"/>
      <c r="I3" s="1450" t="s">
        <v>888</v>
      </c>
      <c r="J3" s="1450"/>
      <c r="K3" s="1450"/>
      <c r="L3" s="1450" t="s">
        <v>889</v>
      </c>
      <c r="M3" s="1450"/>
      <c r="N3" s="1450"/>
      <c r="O3" s="1450" t="s">
        <v>890</v>
      </c>
      <c r="P3" s="1450"/>
      <c r="Q3" s="1450"/>
      <c r="R3" s="1458" t="s">
        <v>891</v>
      </c>
      <c r="S3" s="1459"/>
      <c r="T3" s="1460"/>
      <c r="U3" s="1458" t="s">
        <v>1186</v>
      </c>
      <c r="V3" s="1460"/>
      <c r="W3" s="1450" t="s">
        <v>892</v>
      </c>
      <c r="X3" s="1450"/>
    </row>
    <row r="4" spans="1:24" s="703" customFormat="1" ht="38.25" customHeight="1">
      <c r="A4" s="1449"/>
      <c r="B4" s="1449"/>
      <c r="C4" s="704" t="s">
        <v>893</v>
      </c>
      <c r="D4" s="704" t="s">
        <v>894</v>
      </c>
      <c r="E4" s="705" t="s">
        <v>1096</v>
      </c>
      <c r="F4" s="704" t="s">
        <v>893</v>
      </c>
      <c r="G4" s="704" t="s">
        <v>894</v>
      </c>
      <c r="H4" s="704" t="s">
        <v>1096</v>
      </c>
      <c r="I4" s="704" t="s">
        <v>893</v>
      </c>
      <c r="J4" s="704" t="s">
        <v>894</v>
      </c>
      <c r="K4" s="704" t="s">
        <v>1096</v>
      </c>
      <c r="L4" s="704" t="s">
        <v>895</v>
      </c>
      <c r="M4" s="704" t="s">
        <v>894</v>
      </c>
      <c r="N4" s="704" t="s">
        <v>1096</v>
      </c>
      <c r="O4" s="704" t="s">
        <v>896</v>
      </c>
      <c r="P4" s="704" t="s">
        <v>894</v>
      </c>
      <c r="Q4" s="704" t="s">
        <v>1096</v>
      </c>
      <c r="R4" s="704" t="s">
        <v>896</v>
      </c>
      <c r="S4" s="704" t="s">
        <v>894</v>
      </c>
      <c r="T4" s="704" t="s">
        <v>1096</v>
      </c>
      <c r="U4" s="704" t="s">
        <v>894</v>
      </c>
      <c r="V4" s="704" t="s">
        <v>1096</v>
      </c>
      <c r="W4" s="704" t="s">
        <v>1187</v>
      </c>
      <c r="X4" s="987" t="s">
        <v>1097</v>
      </c>
    </row>
    <row r="5" spans="1:24" s="682" customFormat="1">
      <c r="A5" s="706" t="s">
        <v>58</v>
      </c>
      <c r="B5" s="707">
        <v>259</v>
      </c>
      <c r="C5" s="707">
        <v>11353.453030000001</v>
      </c>
      <c r="D5" s="707">
        <v>1789350</v>
      </c>
      <c r="E5" s="707">
        <v>100919.4925252</v>
      </c>
      <c r="F5" s="707">
        <v>54812.698150000004</v>
      </c>
      <c r="G5" s="707">
        <v>37596650</v>
      </c>
      <c r="H5" s="707">
        <v>1568294.4711345003</v>
      </c>
      <c r="I5" s="707">
        <v>267.94053898599998</v>
      </c>
      <c r="J5" s="707">
        <v>50829084</v>
      </c>
      <c r="K5" s="707">
        <v>2915533.5630957996</v>
      </c>
      <c r="L5" s="707">
        <v>1188816.1945911769</v>
      </c>
      <c r="M5" s="707">
        <v>205480778</v>
      </c>
      <c r="N5" s="707">
        <v>3813027.4302929998</v>
      </c>
      <c r="O5" s="707"/>
      <c r="P5" s="707"/>
      <c r="Q5" s="707"/>
      <c r="R5" s="707"/>
      <c r="S5" s="707"/>
      <c r="T5" s="707"/>
      <c r="U5" s="707">
        <v>295695862</v>
      </c>
      <c r="V5" s="707">
        <v>8397774.9570485</v>
      </c>
      <c r="W5" s="707">
        <v>148505</v>
      </c>
      <c r="X5" s="707">
        <v>11002.5757954</v>
      </c>
    </row>
    <row r="6" spans="1:24" s="682" customFormat="1">
      <c r="A6" s="706" t="s">
        <v>61</v>
      </c>
      <c r="B6" s="707">
        <f>SUM(B7:B17)</f>
        <v>232</v>
      </c>
      <c r="C6" s="707">
        <f t="shared" ref="C6:M6" si="0">SUM(C7:C17)</f>
        <v>10125.94874</v>
      </c>
      <c r="D6" s="707">
        <f t="shared" si="0"/>
        <v>1177493</v>
      </c>
      <c r="E6" s="707">
        <f t="shared" si="0"/>
        <v>87010.819508000015</v>
      </c>
      <c r="F6" s="707">
        <f t="shared" si="0"/>
        <v>34442.542499999996</v>
      </c>
      <c r="G6" s="707">
        <f t="shared" si="0"/>
        <v>12587611</v>
      </c>
      <c r="H6" s="707">
        <f t="shared" si="0"/>
        <v>1428281.2138975</v>
      </c>
      <c r="I6" s="707">
        <f t="shared" si="0"/>
        <v>377.10109773099992</v>
      </c>
      <c r="J6" s="707">
        <f t="shared" si="0"/>
        <v>106672438</v>
      </c>
      <c r="K6" s="707">
        <f t="shared" si="0"/>
        <v>4213093.5875295009</v>
      </c>
      <c r="L6" s="707">
        <f t="shared" si="0"/>
        <v>303024.11080585502</v>
      </c>
      <c r="M6" s="707">
        <f t="shared" si="0"/>
        <v>68048911</v>
      </c>
      <c r="N6" s="707">
        <f>SUM(N7:N17)</f>
        <v>1637172.3513150001</v>
      </c>
      <c r="O6" s="707">
        <f t="shared" ref="O6:T6" si="1">SUM(O7:O17)</f>
        <v>475.40799999999996</v>
      </c>
      <c r="P6" s="707">
        <f t="shared" si="1"/>
        <v>475408</v>
      </c>
      <c r="Q6" s="707">
        <f t="shared" si="1"/>
        <v>36799.438519999996</v>
      </c>
      <c r="R6" s="707">
        <f t="shared" si="1"/>
        <v>90.606999999999999</v>
      </c>
      <c r="S6" s="707">
        <f t="shared" si="1"/>
        <v>90607</v>
      </c>
      <c r="T6" s="707">
        <f t="shared" si="1"/>
        <v>6155.3168599999999</v>
      </c>
      <c r="U6" s="707">
        <f>SUM(U7:U17)</f>
        <v>189052468</v>
      </c>
      <c r="V6" s="707">
        <f t="shared" ref="V6" si="2">SUM(V7:V17)</f>
        <v>7408512.7276299987</v>
      </c>
      <c r="W6" s="707">
        <f>W17</f>
        <v>262785</v>
      </c>
      <c r="X6" s="707">
        <f>X17</f>
        <v>16957.946435599999</v>
      </c>
    </row>
    <row r="7" spans="1:24" s="711" customFormat="1">
      <c r="A7" s="708">
        <v>43922</v>
      </c>
      <c r="B7" s="709">
        <v>18</v>
      </c>
      <c r="C7" s="709">
        <v>517.98455999999999</v>
      </c>
      <c r="D7" s="709">
        <v>66294</v>
      </c>
      <c r="E7" s="710">
        <v>3671.8557304000001</v>
      </c>
      <c r="F7" s="709">
        <v>1396.8564999999999</v>
      </c>
      <c r="G7" s="709">
        <v>1107524</v>
      </c>
      <c r="H7" s="709">
        <v>43536.21014749998</v>
      </c>
      <c r="I7" s="709">
        <v>12.250992582999997</v>
      </c>
      <c r="J7" s="709">
        <v>3589671</v>
      </c>
      <c r="K7" s="709">
        <v>143017.30427060003</v>
      </c>
      <c r="L7" s="709">
        <v>54865.717030205</v>
      </c>
      <c r="M7" s="709">
        <v>5858278</v>
      </c>
      <c r="N7" s="709">
        <v>91621.074682499981</v>
      </c>
      <c r="O7" s="709"/>
      <c r="P7" s="709"/>
      <c r="Q7" s="709"/>
      <c r="R7" s="709"/>
      <c r="S7" s="709"/>
      <c r="T7" s="709"/>
      <c r="U7" s="709">
        <v>10621767</v>
      </c>
      <c r="V7" s="709">
        <v>281846.444831</v>
      </c>
      <c r="W7" s="709">
        <v>122686</v>
      </c>
      <c r="X7" s="709">
        <v>11614.037363900001</v>
      </c>
    </row>
    <row r="8" spans="1:24" s="711" customFormat="1">
      <c r="A8" s="708">
        <v>43953</v>
      </c>
      <c r="B8" s="709">
        <v>21</v>
      </c>
      <c r="C8" s="709">
        <v>617.41380000000015</v>
      </c>
      <c r="D8" s="709">
        <v>76863</v>
      </c>
      <c r="E8" s="710">
        <v>4106.3184176000004</v>
      </c>
      <c r="F8" s="709">
        <v>2275.9254999999998</v>
      </c>
      <c r="G8" s="709">
        <v>1497418</v>
      </c>
      <c r="H8" s="709">
        <v>79117.77099249998</v>
      </c>
      <c r="I8" s="709">
        <v>27.946811002000004</v>
      </c>
      <c r="J8" s="709">
        <v>7175006</v>
      </c>
      <c r="K8" s="709">
        <v>296836.62684469996</v>
      </c>
      <c r="L8" s="709">
        <v>37857.340248795001</v>
      </c>
      <c r="M8" s="709">
        <v>6228088</v>
      </c>
      <c r="N8" s="709">
        <v>118996.56378499998</v>
      </c>
      <c r="O8" s="709"/>
      <c r="P8" s="709"/>
      <c r="Q8" s="709"/>
      <c r="R8" s="709"/>
      <c r="S8" s="709"/>
      <c r="T8" s="709"/>
      <c r="U8" s="709">
        <v>14977375</v>
      </c>
      <c r="V8" s="709">
        <v>499057.28003979998</v>
      </c>
      <c r="W8" s="709">
        <v>135281</v>
      </c>
      <c r="X8" s="709">
        <v>14295.7603913</v>
      </c>
    </row>
    <row r="9" spans="1:24" s="712" customFormat="1">
      <c r="A9" s="708">
        <v>43985</v>
      </c>
      <c r="B9" s="709">
        <v>22</v>
      </c>
      <c r="C9" s="709">
        <v>877.94938000000013</v>
      </c>
      <c r="D9" s="709">
        <v>104714</v>
      </c>
      <c r="E9" s="710">
        <v>6367.6581902000007</v>
      </c>
      <c r="F9" s="709">
        <v>3261.317500000001</v>
      </c>
      <c r="G9" s="709">
        <v>1057395</v>
      </c>
      <c r="H9" s="709">
        <v>115127.8131625</v>
      </c>
      <c r="I9" s="709">
        <v>37.021260684000005</v>
      </c>
      <c r="J9" s="709">
        <v>9153415</v>
      </c>
      <c r="K9" s="709">
        <v>364906.40945049998</v>
      </c>
      <c r="L9" s="709">
        <v>39902.8655172</v>
      </c>
      <c r="M9" s="709">
        <v>6570596</v>
      </c>
      <c r="N9" s="709">
        <v>143533.84207250003</v>
      </c>
      <c r="O9" s="709"/>
      <c r="P9" s="709"/>
      <c r="Q9" s="709"/>
      <c r="R9" s="709"/>
      <c r="S9" s="709"/>
      <c r="T9" s="709"/>
      <c r="U9" s="709">
        <v>16886120</v>
      </c>
      <c r="V9" s="709">
        <v>629935.72287569998</v>
      </c>
      <c r="W9" s="709">
        <v>152305</v>
      </c>
      <c r="X9" s="709">
        <v>14749.869857399999</v>
      </c>
    </row>
    <row r="10" spans="1:24" s="712" customFormat="1">
      <c r="A10" s="708">
        <v>44016</v>
      </c>
      <c r="B10" s="709">
        <v>23</v>
      </c>
      <c r="C10" s="709">
        <v>989.46590000000015</v>
      </c>
      <c r="D10" s="709">
        <v>114651</v>
      </c>
      <c r="E10" s="710">
        <v>7277.3962512000026</v>
      </c>
      <c r="F10" s="709">
        <v>3745.4299999999989</v>
      </c>
      <c r="G10" s="709">
        <v>1253701</v>
      </c>
      <c r="H10" s="709">
        <v>149118.7076275</v>
      </c>
      <c r="I10" s="709">
        <v>57.357698916999993</v>
      </c>
      <c r="J10" s="709">
        <v>13030913</v>
      </c>
      <c r="K10" s="709">
        <v>559967.59815910039</v>
      </c>
      <c r="L10" s="709">
        <v>30250.286932489998</v>
      </c>
      <c r="M10" s="709">
        <v>6432779</v>
      </c>
      <c r="N10" s="709">
        <v>137758.02345750001</v>
      </c>
      <c r="O10" s="709"/>
      <c r="P10" s="709"/>
      <c r="Q10" s="709"/>
      <c r="R10" s="709"/>
      <c r="S10" s="709"/>
      <c r="T10" s="709"/>
      <c r="U10" s="709">
        <v>20832044</v>
      </c>
      <c r="V10" s="709">
        <v>854121.72549530037</v>
      </c>
      <c r="W10" s="709">
        <v>144727</v>
      </c>
      <c r="X10" s="709">
        <v>15233.6824719</v>
      </c>
    </row>
    <row r="11" spans="1:24" s="712" customFormat="1">
      <c r="A11" s="708">
        <v>44048</v>
      </c>
      <c r="B11" s="709">
        <v>21</v>
      </c>
      <c r="C11" s="709">
        <v>742.65032999999971</v>
      </c>
      <c r="D11" s="709">
        <v>82203</v>
      </c>
      <c r="E11" s="710">
        <v>5824.4504842000024</v>
      </c>
      <c r="F11" s="709">
        <v>3733.9474999999998</v>
      </c>
      <c r="G11" s="709">
        <v>1216867</v>
      </c>
      <c r="H11" s="709">
        <v>152687.29222500001</v>
      </c>
      <c r="I11" s="709">
        <v>53.480413654000024</v>
      </c>
      <c r="J11" s="709">
        <v>14921463</v>
      </c>
      <c r="K11" s="709">
        <v>626980.10613599978</v>
      </c>
      <c r="L11" s="709">
        <v>21521.773845489999</v>
      </c>
      <c r="M11" s="709">
        <v>4927161</v>
      </c>
      <c r="N11" s="709">
        <v>123009.16329750004</v>
      </c>
      <c r="O11" s="709">
        <v>26.303999999999998</v>
      </c>
      <c r="P11" s="709">
        <v>26304</v>
      </c>
      <c r="Q11" s="709">
        <v>2119.6345099999999</v>
      </c>
      <c r="R11" s="709"/>
      <c r="S11" s="709"/>
      <c r="T11" s="709"/>
      <c r="U11" s="709">
        <v>21173998</v>
      </c>
      <c r="V11" s="709">
        <v>910620.6466526998</v>
      </c>
      <c r="W11" s="709">
        <v>164840</v>
      </c>
      <c r="X11" s="709">
        <v>17478.619636200001</v>
      </c>
    </row>
    <row r="12" spans="1:24" s="712" customFormat="1">
      <c r="A12" s="708">
        <v>44080</v>
      </c>
      <c r="B12" s="709">
        <v>22</v>
      </c>
      <c r="C12" s="709">
        <v>858.71834999999965</v>
      </c>
      <c r="D12" s="709">
        <v>90864</v>
      </c>
      <c r="E12" s="710">
        <v>6838.5318600000001</v>
      </c>
      <c r="F12" s="709">
        <v>3672.4005000000006</v>
      </c>
      <c r="G12" s="709">
        <v>1176532</v>
      </c>
      <c r="H12" s="709">
        <v>146911.16517500006</v>
      </c>
      <c r="I12" s="709">
        <v>34.474819904000022</v>
      </c>
      <c r="J12" s="709">
        <v>10281771</v>
      </c>
      <c r="K12" s="709">
        <v>422378.63415189995</v>
      </c>
      <c r="L12" s="709">
        <v>24137.626543720002</v>
      </c>
      <c r="M12" s="709">
        <v>7268301</v>
      </c>
      <c r="N12" s="709">
        <v>171492.34703249999</v>
      </c>
      <c r="O12" s="709">
        <v>65.662000000000006</v>
      </c>
      <c r="P12" s="709">
        <v>65662</v>
      </c>
      <c r="Q12" s="709">
        <v>5182.9009949999991</v>
      </c>
      <c r="R12" s="709"/>
      <c r="S12" s="709"/>
      <c r="T12" s="709"/>
      <c r="U12" s="709">
        <v>18883130</v>
      </c>
      <c r="V12" s="709">
        <v>752803.57921440003</v>
      </c>
      <c r="W12" s="709">
        <v>158034</v>
      </c>
      <c r="X12" s="709">
        <v>13881.9313588</v>
      </c>
    </row>
    <row r="13" spans="1:24" s="712" customFormat="1">
      <c r="A13" s="708">
        <v>44111</v>
      </c>
      <c r="B13" s="709">
        <v>21</v>
      </c>
      <c r="C13" s="709">
        <v>866.81292999999971</v>
      </c>
      <c r="D13" s="709">
        <v>94222</v>
      </c>
      <c r="E13" s="710">
        <v>7096.0901250000006</v>
      </c>
      <c r="F13" s="709">
        <v>3524.6615000000011</v>
      </c>
      <c r="G13" s="709">
        <v>1144077</v>
      </c>
      <c r="H13" s="709">
        <v>146202.49811500005</v>
      </c>
      <c r="I13" s="709">
        <v>32.130818439000002</v>
      </c>
      <c r="J13" s="709">
        <v>9234948</v>
      </c>
      <c r="K13" s="709">
        <v>352878.68973930023</v>
      </c>
      <c r="L13" s="709">
        <v>24606.357791989998</v>
      </c>
      <c r="M13" s="709">
        <v>6904446</v>
      </c>
      <c r="N13" s="709">
        <v>187020.73533499998</v>
      </c>
      <c r="O13" s="709">
        <v>63.267999999999994</v>
      </c>
      <c r="P13" s="709">
        <v>63268</v>
      </c>
      <c r="Q13" s="709">
        <v>4908.7176399999989</v>
      </c>
      <c r="R13" s="709">
        <v>10.741999999999999</v>
      </c>
      <c r="S13" s="709">
        <v>10742</v>
      </c>
      <c r="T13" s="709">
        <v>658.51666999999998</v>
      </c>
      <c r="U13" s="709">
        <v>17451703</v>
      </c>
      <c r="V13" s="709">
        <v>698765.2476243003</v>
      </c>
      <c r="W13" s="709">
        <v>168203</v>
      </c>
      <c r="X13" s="709">
        <v>14247.269590899999</v>
      </c>
    </row>
    <row r="14" spans="1:24" s="712" customFormat="1">
      <c r="A14" s="708">
        <v>44143</v>
      </c>
      <c r="B14" s="709">
        <v>22</v>
      </c>
      <c r="C14" s="709">
        <v>1111.1159499999999</v>
      </c>
      <c r="D14" s="709">
        <v>122306</v>
      </c>
      <c r="E14" s="710">
        <v>10138.218927400003</v>
      </c>
      <c r="F14" s="709">
        <v>3169.6714999999995</v>
      </c>
      <c r="G14" s="709">
        <v>1031355</v>
      </c>
      <c r="H14" s="709">
        <v>139387.21088499998</v>
      </c>
      <c r="I14" s="709">
        <v>31.893842382999996</v>
      </c>
      <c r="J14" s="709">
        <v>9403464</v>
      </c>
      <c r="K14" s="709">
        <v>381020.71881399991</v>
      </c>
      <c r="L14" s="709">
        <v>28835.075452215002</v>
      </c>
      <c r="M14" s="709">
        <v>6983847</v>
      </c>
      <c r="N14" s="709">
        <v>195760.21409749999</v>
      </c>
      <c r="O14" s="709">
        <v>72.875999999999976</v>
      </c>
      <c r="P14" s="709">
        <v>72876</v>
      </c>
      <c r="Q14" s="709">
        <v>5643.2838149999998</v>
      </c>
      <c r="R14" s="709">
        <v>15.832000000000001</v>
      </c>
      <c r="S14" s="709">
        <v>15832</v>
      </c>
      <c r="T14" s="709">
        <v>1016.4030449999999</v>
      </c>
      <c r="U14" s="709">
        <v>17629680</v>
      </c>
      <c r="V14" s="709">
        <v>732966.0495838999</v>
      </c>
      <c r="W14" s="709">
        <v>195315</v>
      </c>
      <c r="X14" s="709">
        <v>13359.1361655</v>
      </c>
    </row>
    <row r="15" spans="1:24" s="715" customFormat="1">
      <c r="A15" s="708">
        <v>44174</v>
      </c>
      <c r="B15" s="713">
        <v>22</v>
      </c>
      <c r="C15" s="713">
        <v>1121.7148000000004</v>
      </c>
      <c r="D15" s="713">
        <v>129326</v>
      </c>
      <c r="E15" s="714">
        <v>10747.937155000003</v>
      </c>
      <c r="F15" s="713">
        <v>3238.5225</v>
      </c>
      <c r="G15" s="713">
        <v>1035248</v>
      </c>
      <c r="H15" s="713">
        <v>147602.93583749994</v>
      </c>
      <c r="I15" s="713">
        <v>32.278672231999984</v>
      </c>
      <c r="J15" s="713">
        <v>10374787</v>
      </c>
      <c r="K15" s="713">
        <v>363269.26704270003</v>
      </c>
      <c r="L15" s="713">
        <v>8059.9319040450009</v>
      </c>
      <c r="M15" s="713">
        <v>5183924</v>
      </c>
      <c r="N15" s="713">
        <v>130203.09954249996</v>
      </c>
      <c r="O15" s="713">
        <v>89.737000000000023</v>
      </c>
      <c r="P15" s="713">
        <v>89737</v>
      </c>
      <c r="Q15" s="713">
        <v>6916.3622850000002</v>
      </c>
      <c r="R15" s="713">
        <v>18.996000000000002</v>
      </c>
      <c r="S15" s="713">
        <v>18996</v>
      </c>
      <c r="T15" s="713">
        <v>1294.0507450000002</v>
      </c>
      <c r="U15" s="713">
        <v>16832018</v>
      </c>
      <c r="V15" s="713">
        <v>660033.65260769997</v>
      </c>
      <c r="W15" s="713">
        <v>185115</v>
      </c>
      <c r="X15" s="713">
        <v>13818.029704</v>
      </c>
    </row>
    <row r="16" spans="1:24" s="715" customFormat="1">
      <c r="A16" s="708">
        <v>44206</v>
      </c>
      <c r="B16" s="713">
        <v>20</v>
      </c>
      <c r="C16" s="713">
        <v>1269.2576100000001</v>
      </c>
      <c r="D16" s="713">
        <v>150336</v>
      </c>
      <c r="E16" s="714">
        <v>12653.105590599998</v>
      </c>
      <c r="F16" s="713">
        <v>2992.7004999999995</v>
      </c>
      <c r="G16" s="713">
        <v>962479</v>
      </c>
      <c r="H16" s="713">
        <v>139531.22158749992</v>
      </c>
      <c r="I16" s="713">
        <v>29.727751137999995</v>
      </c>
      <c r="J16" s="713">
        <v>9813198</v>
      </c>
      <c r="K16" s="713">
        <v>354566.0730758998</v>
      </c>
      <c r="L16" s="713">
        <v>9493.192497815</v>
      </c>
      <c r="M16" s="713">
        <v>4970544</v>
      </c>
      <c r="N16" s="713">
        <v>130123.39837000004</v>
      </c>
      <c r="O16" s="713">
        <v>73.087000000000003</v>
      </c>
      <c r="P16" s="713">
        <v>73087</v>
      </c>
      <c r="Q16" s="713">
        <v>5679.2837800000007</v>
      </c>
      <c r="R16" s="713">
        <v>17.246000000000002</v>
      </c>
      <c r="S16" s="713">
        <v>17246</v>
      </c>
      <c r="T16" s="713">
        <v>1181.5153599999999</v>
      </c>
      <c r="U16" s="713">
        <v>15986890</v>
      </c>
      <c r="V16" s="713">
        <v>643734.59776399983</v>
      </c>
      <c r="W16" s="713">
        <v>211821</v>
      </c>
      <c r="X16" s="713">
        <v>14138.0242975</v>
      </c>
    </row>
    <row r="17" spans="1:24" s="715" customFormat="1">
      <c r="A17" s="708">
        <v>44228</v>
      </c>
      <c r="B17" s="713">
        <v>20</v>
      </c>
      <c r="C17" s="713">
        <v>1152.8651299999999</v>
      </c>
      <c r="D17" s="713">
        <v>145714</v>
      </c>
      <c r="E17" s="714">
        <v>12289.256776399998</v>
      </c>
      <c r="F17" s="713">
        <v>3431.1089999999999</v>
      </c>
      <c r="G17" s="713">
        <v>1105015</v>
      </c>
      <c r="H17" s="713">
        <v>169058.38814250004</v>
      </c>
      <c r="I17" s="713">
        <v>28.53801679499999</v>
      </c>
      <c r="J17" s="713">
        <v>9693802</v>
      </c>
      <c r="K17" s="713">
        <v>347272.15984479996</v>
      </c>
      <c r="L17" s="713">
        <v>23493.943041890001</v>
      </c>
      <c r="M17" s="713">
        <v>6720947</v>
      </c>
      <c r="N17" s="713">
        <v>207653.88964249997</v>
      </c>
      <c r="O17" s="713">
        <v>84.474000000000004</v>
      </c>
      <c r="P17" s="713">
        <v>84474</v>
      </c>
      <c r="Q17" s="713">
        <v>6349.2554949999985</v>
      </c>
      <c r="R17" s="713">
        <v>27.791</v>
      </c>
      <c r="S17" s="713">
        <v>27791</v>
      </c>
      <c r="T17" s="713">
        <v>2004.8310399999998</v>
      </c>
      <c r="U17" s="713">
        <v>17777743</v>
      </c>
      <c r="V17" s="713">
        <v>744627.78094119998</v>
      </c>
      <c r="W17" s="713">
        <v>262785</v>
      </c>
      <c r="X17" s="713">
        <v>16957.946435599999</v>
      </c>
    </row>
    <row r="18" spans="1:24">
      <c r="A18" s="1461" t="s">
        <v>863</v>
      </c>
      <c r="B18" s="1462"/>
      <c r="C18" s="1462"/>
      <c r="D18" s="1462"/>
      <c r="E18" s="1462"/>
      <c r="F18" s="1462"/>
      <c r="G18" s="1462"/>
      <c r="H18" s="1462"/>
      <c r="I18" s="1462"/>
      <c r="J18" s="1462"/>
      <c r="K18" s="1462"/>
      <c r="L18" s="1462"/>
      <c r="M18" s="1462"/>
      <c r="N18" s="1462"/>
      <c r="O18" s="1462"/>
      <c r="P18" s="1462"/>
      <c r="Q18" s="1462"/>
      <c r="R18" s="1463"/>
      <c r="U18" s="1004"/>
      <c r="V18" s="1004"/>
    </row>
    <row r="19" spans="1:24" ht="24" customHeight="1">
      <c r="A19" s="1464" t="s">
        <v>897</v>
      </c>
      <c r="B19" s="1464" t="s">
        <v>886</v>
      </c>
      <c r="C19" s="1465" t="s">
        <v>887</v>
      </c>
      <c r="D19" s="1465"/>
      <c r="E19" s="1465"/>
      <c r="F19" s="1465"/>
      <c r="G19" s="1465" t="s">
        <v>888</v>
      </c>
      <c r="H19" s="1465"/>
      <c r="I19" s="1465"/>
      <c r="J19" s="1465"/>
      <c r="K19" s="1465" t="s">
        <v>889</v>
      </c>
      <c r="L19" s="1465"/>
      <c r="M19" s="1465"/>
      <c r="N19" s="1465"/>
      <c r="O19" s="1465" t="s">
        <v>1188</v>
      </c>
      <c r="P19" s="1465"/>
      <c r="Q19" s="1466" t="s">
        <v>892</v>
      </c>
      <c r="R19" s="1467"/>
      <c r="T19" s="1004"/>
      <c r="V19" s="1004"/>
    </row>
    <row r="20" spans="1:24" ht="12.75" customHeight="1">
      <c r="A20" s="1464"/>
      <c r="B20" s="1464"/>
      <c r="C20" s="1468" t="s">
        <v>898</v>
      </c>
      <c r="D20" s="1468"/>
      <c r="E20" s="1468" t="s">
        <v>899</v>
      </c>
      <c r="F20" s="1468"/>
      <c r="G20" s="1468" t="s">
        <v>898</v>
      </c>
      <c r="H20" s="1468"/>
      <c r="I20" s="1468" t="s">
        <v>899</v>
      </c>
      <c r="J20" s="1468"/>
      <c r="K20" s="1468" t="s">
        <v>898</v>
      </c>
      <c r="L20" s="1468"/>
      <c r="M20" s="1468" t="s">
        <v>899</v>
      </c>
      <c r="N20" s="1468"/>
      <c r="O20" s="1446" t="s">
        <v>894</v>
      </c>
      <c r="P20" s="1448" t="s">
        <v>1098</v>
      </c>
      <c r="Q20" s="1446" t="s">
        <v>1187</v>
      </c>
      <c r="R20" s="1446" t="s">
        <v>1099</v>
      </c>
      <c r="T20" s="1004"/>
      <c r="V20" s="1004"/>
    </row>
    <row r="21" spans="1:24" ht="38.25">
      <c r="A21" s="1464"/>
      <c r="B21" s="1464"/>
      <c r="C21" s="986" t="s">
        <v>894</v>
      </c>
      <c r="D21" s="705" t="s">
        <v>1096</v>
      </c>
      <c r="E21" s="986" t="s">
        <v>894</v>
      </c>
      <c r="F21" s="705" t="s">
        <v>1096</v>
      </c>
      <c r="G21" s="986" t="s">
        <v>894</v>
      </c>
      <c r="H21" s="705" t="s">
        <v>1096</v>
      </c>
      <c r="I21" s="986" t="s">
        <v>894</v>
      </c>
      <c r="J21" s="705" t="s">
        <v>1096</v>
      </c>
      <c r="K21" s="986" t="s">
        <v>894</v>
      </c>
      <c r="L21" s="705" t="s">
        <v>1096</v>
      </c>
      <c r="M21" s="986" t="s">
        <v>894</v>
      </c>
      <c r="N21" s="705" t="s">
        <v>1096</v>
      </c>
      <c r="O21" s="1447"/>
      <c r="P21" s="1449"/>
      <c r="Q21" s="1447"/>
      <c r="R21" s="1447"/>
      <c r="T21" s="1004"/>
    </row>
    <row r="22" spans="1:24">
      <c r="A22" s="706" t="s">
        <v>58</v>
      </c>
      <c r="B22" s="707">
        <v>259</v>
      </c>
      <c r="C22" s="707">
        <v>18146</v>
      </c>
      <c r="D22" s="707">
        <v>1293.2336039999998</v>
      </c>
      <c r="E22" s="707">
        <v>12977</v>
      </c>
      <c r="F22" s="707">
        <v>969.92868200000009</v>
      </c>
      <c r="G22" s="707">
        <v>251533</v>
      </c>
      <c r="H22" s="707">
        <v>74410.1388935</v>
      </c>
      <c r="I22" s="707">
        <v>278935</v>
      </c>
      <c r="J22" s="707">
        <v>90244.629649500013</v>
      </c>
      <c r="K22" s="707">
        <v>1729784</v>
      </c>
      <c r="L22" s="707">
        <v>69961.987244000004</v>
      </c>
      <c r="M22" s="707">
        <v>1393470</v>
      </c>
      <c r="N22" s="707">
        <v>54862.742491999998</v>
      </c>
      <c r="O22" s="707">
        <v>3684845</v>
      </c>
      <c r="P22" s="707">
        <v>291742.67056500004</v>
      </c>
      <c r="Q22" s="707">
        <v>11844</v>
      </c>
      <c r="R22" s="707">
        <v>698.07970150000006</v>
      </c>
    </row>
    <row r="23" spans="1:24">
      <c r="A23" s="706" t="s">
        <v>61</v>
      </c>
      <c r="B23" s="718">
        <f>SUM(B24:B34)</f>
        <v>232</v>
      </c>
      <c r="C23" s="718">
        <f t="shared" ref="C23:M23" si="3">SUM(C24:C34)</f>
        <v>241</v>
      </c>
      <c r="D23" s="718">
        <f t="shared" si="3"/>
        <v>31.545152999999999</v>
      </c>
      <c r="E23" s="718">
        <f t="shared" si="3"/>
        <v>412</v>
      </c>
      <c r="F23" s="718">
        <f t="shared" si="3"/>
        <v>47.393319500000004</v>
      </c>
      <c r="G23" s="718">
        <f t="shared" si="3"/>
        <v>230338</v>
      </c>
      <c r="H23" s="718">
        <f t="shared" si="3"/>
        <v>83411.374934000007</v>
      </c>
      <c r="I23" s="718">
        <f t="shared" si="3"/>
        <v>273281</v>
      </c>
      <c r="J23" s="718">
        <f t="shared" si="3"/>
        <v>94136.291979000001</v>
      </c>
      <c r="K23" s="718">
        <f t="shared" si="3"/>
        <v>581207</v>
      </c>
      <c r="L23" s="718">
        <f t="shared" si="3"/>
        <v>17874.003006999999</v>
      </c>
      <c r="M23" s="718">
        <f t="shared" si="3"/>
        <v>512353</v>
      </c>
      <c r="N23" s="718">
        <f>SUM(N24:N34)</f>
        <v>15128.506753</v>
      </c>
      <c r="O23" s="718">
        <f t="shared" ref="O23:P23" si="4">SUM(O24:O34)</f>
        <v>1597832</v>
      </c>
      <c r="P23" s="718">
        <f t="shared" si="4"/>
        <v>210629.11514549999</v>
      </c>
      <c r="Q23" s="718">
        <f>Q34</f>
        <v>6801</v>
      </c>
      <c r="R23" s="718">
        <f>R34</f>
        <v>1782.5694190000002</v>
      </c>
    </row>
    <row r="24" spans="1:24">
      <c r="A24" s="708">
        <v>43922</v>
      </c>
      <c r="B24" s="709">
        <v>18</v>
      </c>
      <c r="C24" s="709">
        <v>3</v>
      </c>
      <c r="D24" s="709">
        <v>0.32998</v>
      </c>
      <c r="E24" s="709">
        <v>9</v>
      </c>
      <c r="F24" s="709">
        <v>0.89101249999999999</v>
      </c>
      <c r="G24" s="709">
        <v>6999</v>
      </c>
      <c r="H24" s="709">
        <v>1968.6774660000001</v>
      </c>
      <c r="I24" s="709">
        <v>10944</v>
      </c>
      <c r="J24" s="709">
        <v>3679.8237015</v>
      </c>
      <c r="K24" s="709">
        <v>90838</v>
      </c>
      <c r="L24" s="709">
        <v>1914.003608</v>
      </c>
      <c r="M24" s="709">
        <v>55438</v>
      </c>
      <c r="N24" s="709">
        <v>933.48083799999995</v>
      </c>
      <c r="O24" s="709">
        <v>164231</v>
      </c>
      <c r="P24" s="709">
        <v>8497.2066059999997</v>
      </c>
      <c r="Q24" s="709">
        <v>11690</v>
      </c>
      <c r="R24" s="709">
        <v>1651.0206595</v>
      </c>
    </row>
    <row r="25" spans="1:24">
      <c r="A25" s="708">
        <v>43953</v>
      </c>
      <c r="B25" s="709">
        <v>21</v>
      </c>
      <c r="C25" s="709">
        <v>31</v>
      </c>
      <c r="D25" s="709">
        <v>3.2268599999999998</v>
      </c>
      <c r="E25" s="709">
        <v>120</v>
      </c>
      <c r="F25" s="709">
        <v>11.252795000000001</v>
      </c>
      <c r="G25" s="709">
        <v>11114</v>
      </c>
      <c r="H25" s="709">
        <v>4286.8298429999995</v>
      </c>
      <c r="I25" s="709">
        <v>22893</v>
      </c>
      <c r="J25" s="709">
        <v>8974.6587314999997</v>
      </c>
      <c r="K25" s="709">
        <v>62769</v>
      </c>
      <c r="L25" s="709">
        <v>1473.6085619999999</v>
      </c>
      <c r="M25" s="709">
        <v>65421</v>
      </c>
      <c r="N25" s="709">
        <v>1300.1379899999999</v>
      </c>
      <c r="O25" s="709">
        <v>162348</v>
      </c>
      <c r="P25" s="709">
        <v>16049.714781499999</v>
      </c>
      <c r="Q25" s="709">
        <v>7927</v>
      </c>
      <c r="R25" s="709">
        <v>816.22000949999995</v>
      </c>
    </row>
    <row r="26" spans="1:24">
      <c r="A26" s="708">
        <v>43985</v>
      </c>
      <c r="B26" s="709">
        <v>22</v>
      </c>
      <c r="C26" s="709">
        <v>11</v>
      </c>
      <c r="D26" s="709">
        <v>1.2382219999999999</v>
      </c>
      <c r="E26" s="709">
        <v>15</v>
      </c>
      <c r="F26" s="709">
        <v>1.6099969999999999</v>
      </c>
      <c r="G26" s="709">
        <v>14448</v>
      </c>
      <c r="H26" s="709">
        <v>4216.118058</v>
      </c>
      <c r="I26" s="709">
        <v>19882</v>
      </c>
      <c r="J26" s="709">
        <v>6425.0760920000002</v>
      </c>
      <c r="K26" s="709">
        <v>77698</v>
      </c>
      <c r="L26" s="709">
        <v>2375.3497889999999</v>
      </c>
      <c r="M26" s="709">
        <v>74545</v>
      </c>
      <c r="N26" s="709">
        <v>2119.2725380000002</v>
      </c>
      <c r="O26" s="709">
        <v>186599</v>
      </c>
      <c r="P26" s="709">
        <v>15138.664696</v>
      </c>
      <c r="Q26" s="709">
        <v>7860</v>
      </c>
      <c r="R26" s="709">
        <v>1559.11</v>
      </c>
    </row>
    <row r="27" spans="1:24">
      <c r="A27" s="708">
        <v>44016</v>
      </c>
      <c r="B27" s="709">
        <v>23</v>
      </c>
      <c r="C27" s="709">
        <v>52</v>
      </c>
      <c r="D27" s="709">
        <v>6.4820539999999998</v>
      </c>
      <c r="E27" s="709">
        <v>114</v>
      </c>
      <c r="F27" s="709">
        <v>13.358575999999999</v>
      </c>
      <c r="G27" s="709">
        <v>16126</v>
      </c>
      <c r="H27" s="709">
        <v>5916.5598620000001</v>
      </c>
      <c r="I27" s="709">
        <v>33590</v>
      </c>
      <c r="J27" s="709">
        <v>11775.034136999999</v>
      </c>
      <c r="K27" s="709">
        <v>54977</v>
      </c>
      <c r="L27" s="709">
        <v>1749.6879269999999</v>
      </c>
      <c r="M27" s="709">
        <v>52671</v>
      </c>
      <c r="N27" s="709">
        <v>1603.4092559999999</v>
      </c>
      <c r="O27" s="709">
        <v>157530</v>
      </c>
      <c r="P27" s="709">
        <v>21064.531812000001</v>
      </c>
      <c r="Q27" s="709">
        <v>7882</v>
      </c>
      <c r="R27" s="709">
        <v>1184.07</v>
      </c>
    </row>
    <row r="28" spans="1:24">
      <c r="A28" s="708">
        <v>44048</v>
      </c>
      <c r="B28" s="709">
        <v>21</v>
      </c>
      <c r="C28" s="709">
        <v>51</v>
      </c>
      <c r="D28" s="709">
        <v>6.7336830000000001</v>
      </c>
      <c r="E28" s="709">
        <v>43</v>
      </c>
      <c r="F28" s="709">
        <v>3.76247</v>
      </c>
      <c r="G28" s="709">
        <v>31320</v>
      </c>
      <c r="H28" s="709">
        <v>11674.081338</v>
      </c>
      <c r="I28" s="709">
        <v>45055</v>
      </c>
      <c r="J28" s="709">
        <v>14320.374709</v>
      </c>
      <c r="K28" s="709">
        <v>51453</v>
      </c>
      <c r="L28" s="709">
        <v>1688.743729</v>
      </c>
      <c r="M28" s="709">
        <v>41167</v>
      </c>
      <c r="N28" s="709">
        <v>1304.5440189999999</v>
      </c>
      <c r="O28" s="709">
        <v>169089</v>
      </c>
      <c r="P28" s="709">
        <v>28998.239947999999</v>
      </c>
      <c r="Q28" s="709">
        <v>9062</v>
      </c>
      <c r="R28" s="709">
        <v>3026.3053569999997</v>
      </c>
    </row>
    <row r="29" spans="1:24">
      <c r="A29" s="708">
        <v>44080</v>
      </c>
      <c r="B29" s="709">
        <v>22</v>
      </c>
      <c r="C29" s="709">
        <v>22</v>
      </c>
      <c r="D29" s="709">
        <v>2.912236</v>
      </c>
      <c r="E29" s="709">
        <v>7</v>
      </c>
      <c r="F29" s="709">
        <v>0.90368099999999996</v>
      </c>
      <c r="G29" s="709">
        <v>31513</v>
      </c>
      <c r="H29" s="709">
        <v>12055.351627</v>
      </c>
      <c r="I29" s="709">
        <v>27693</v>
      </c>
      <c r="J29" s="709">
        <v>11639.881839000003</v>
      </c>
      <c r="K29" s="709">
        <v>46984</v>
      </c>
      <c r="L29" s="709">
        <v>1450.5074050000001</v>
      </c>
      <c r="M29" s="709">
        <v>29288</v>
      </c>
      <c r="N29" s="709">
        <v>877.65585099999998</v>
      </c>
      <c r="O29" s="709">
        <v>135507</v>
      </c>
      <c r="P29" s="709">
        <v>26027.212639000005</v>
      </c>
      <c r="Q29" s="709">
        <v>7154</v>
      </c>
      <c r="R29" s="709">
        <v>1279.0107834999999</v>
      </c>
    </row>
    <row r="30" spans="1:24">
      <c r="A30" s="708">
        <v>44111</v>
      </c>
      <c r="B30" s="709">
        <v>21</v>
      </c>
      <c r="C30" s="709">
        <v>13</v>
      </c>
      <c r="D30" s="709">
        <v>1.781925</v>
      </c>
      <c r="E30" s="709">
        <v>5</v>
      </c>
      <c r="F30" s="709">
        <v>0.66369800000000001</v>
      </c>
      <c r="G30" s="709">
        <v>14957</v>
      </c>
      <c r="H30" s="709">
        <v>4110.9554779999999</v>
      </c>
      <c r="I30" s="709">
        <v>13901</v>
      </c>
      <c r="J30" s="709">
        <v>3827.1727709999996</v>
      </c>
      <c r="K30" s="709">
        <v>37132</v>
      </c>
      <c r="L30" s="709">
        <v>1134.6951429999999</v>
      </c>
      <c r="M30" s="709">
        <v>28066</v>
      </c>
      <c r="N30" s="709">
        <v>840.25652600000001</v>
      </c>
      <c r="O30" s="709">
        <v>94074</v>
      </c>
      <c r="P30" s="709">
        <v>9915.5255409999991</v>
      </c>
      <c r="Q30" s="709">
        <v>9650</v>
      </c>
      <c r="R30" s="709">
        <v>2388.1539930000004</v>
      </c>
      <c r="U30" s="719"/>
    </row>
    <row r="31" spans="1:24">
      <c r="A31" s="708">
        <v>44143</v>
      </c>
      <c r="B31" s="709">
        <v>22</v>
      </c>
      <c r="C31" s="709">
        <v>8</v>
      </c>
      <c r="D31" s="709">
        <v>1.0894919999999999</v>
      </c>
      <c r="E31" s="709">
        <v>1</v>
      </c>
      <c r="F31" s="709">
        <v>0.13882</v>
      </c>
      <c r="G31" s="709">
        <v>38974</v>
      </c>
      <c r="H31" s="709">
        <v>12459.023379</v>
      </c>
      <c r="I31" s="709">
        <v>36844</v>
      </c>
      <c r="J31" s="709">
        <v>11957.121263999999</v>
      </c>
      <c r="K31" s="709">
        <v>36690</v>
      </c>
      <c r="L31" s="709">
        <v>1158.057393</v>
      </c>
      <c r="M31" s="709">
        <v>32349</v>
      </c>
      <c r="N31" s="709">
        <v>988.67311299999994</v>
      </c>
      <c r="O31" s="709">
        <v>144866</v>
      </c>
      <c r="P31" s="709">
        <v>26564.103460999999</v>
      </c>
      <c r="Q31" s="709">
        <v>4646</v>
      </c>
      <c r="R31" s="709">
        <v>630.12134550000007</v>
      </c>
      <c r="U31" s="719"/>
    </row>
    <row r="32" spans="1:24" s="609" customFormat="1">
      <c r="A32" s="708">
        <v>44174</v>
      </c>
      <c r="B32" s="665">
        <v>22</v>
      </c>
      <c r="C32" s="720">
        <v>14</v>
      </c>
      <c r="D32" s="720">
        <v>2.1150700000000002</v>
      </c>
      <c r="E32" s="720">
        <v>67</v>
      </c>
      <c r="F32" s="720">
        <v>9.8004489999999986</v>
      </c>
      <c r="G32" s="720">
        <v>19067</v>
      </c>
      <c r="H32" s="720">
        <v>7116.0888030000006</v>
      </c>
      <c r="I32" s="720">
        <v>17024</v>
      </c>
      <c r="J32" s="720">
        <v>5439.7001979999995</v>
      </c>
      <c r="K32" s="720">
        <v>37500</v>
      </c>
      <c r="L32" s="720">
        <v>1338.9979279999989</v>
      </c>
      <c r="M32" s="720">
        <v>39558</v>
      </c>
      <c r="N32" s="720">
        <v>1351.8160700000001</v>
      </c>
      <c r="O32" s="720">
        <v>113230</v>
      </c>
      <c r="P32" s="720">
        <v>15258.518517999999</v>
      </c>
      <c r="Q32" s="721">
        <v>9255</v>
      </c>
      <c r="R32" s="709">
        <v>2897.0800000000004</v>
      </c>
    </row>
    <row r="33" spans="1:20" s="609" customFormat="1">
      <c r="A33" s="708">
        <v>44206</v>
      </c>
      <c r="B33" s="665">
        <v>20</v>
      </c>
      <c r="C33" s="720">
        <v>17</v>
      </c>
      <c r="D33" s="720">
        <v>2.5598559999999999</v>
      </c>
      <c r="E33" s="720">
        <v>7</v>
      </c>
      <c r="F33" s="720">
        <v>1.065755</v>
      </c>
      <c r="G33" s="720">
        <v>25597</v>
      </c>
      <c r="H33" s="720">
        <v>11729.065224000002</v>
      </c>
      <c r="I33" s="720">
        <v>28082</v>
      </c>
      <c r="J33" s="720">
        <v>11488.041060000001</v>
      </c>
      <c r="K33" s="720">
        <v>34839</v>
      </c>
      <c r="L33" s="720">
        <v>1354.828207</v>
      </c>
      <c r="M33" s="720">
        <v>37137</v>
      </c>
      <c r="N33" s="720">
        <v>1383.526181</v>
      </c>
      <c r="O33" s="720">
        <v>125679</v>
      </c>
      <c r="P33" s="720">
        <v>25959.086283000004</v>
      </c>
      <c r="Q33" s="721">
        <v>4727</v>
      </c>
      <c r="R33" s="713">
        <v>809.30592649999994</v>
      </c>
    </row>
    <row r="34" spans="1:20" s="609" customFormat="1">
      <c r="A34" s="708">
        <v>44228</v>
      </c>
      <c r="B34" s="665">
        <v>20</v>
      </c>
      <c r="C34" s="720">
        <v>19</v>
      </c>
      <c r="D34" s="720">
        <v>3.0757750000000001</v>
      </c>
      <c r="E34" s="720">
        <v>24</v>
      </c>
      <c r="F34" s="720">
        <v>3.9460660000000001</v>
      </c>
      <c r="G34" s="720">
        <v>20223</v>
      </c>
      <c r="H34" s="720">
        <v>7878.6238560000002</v>
      </c>
      <c r="I34" s="720">
        <v>17373</v>
      </c>
      <c r="J34" s="720">
        <v>4609.4074760000003</v>
      </c>
      <c r="K34" s="720">
        <v>50327</v>
      </c>
      <c r="L34" s="720">
        <v>2235.5233159999998</v>
      </c>
      <c r="M34" s="720">
        <v>56713</v>
      </c>
      <c r="N34" s="720">
        <v>2425.734371</v>
      </c>
      <c r="O34" s="720">
        <v>144679</v>
      </c>
      <c r="P34" s="720">
        <v>17156.310860000001</v>
      </c>
      <c r="Q34" s="721">
        <v>6801</v>
      </c>
      <c r="R34" s="713">
        <v>1782.5694190000002</v>
      </c>
    </row>
    <row r="35" spans="1:20" s="609" customFormat="1">
      <c r="A35" s="716" t="str">
        <f>'[1]1'!A8</f>
        <v>$ indicates as on February 28, 2021</v>
      </c>
      <c r="B35" s="722"/>
      <c r="C35" s="723"/>
      <c r="D35" s="723"/>
      <c r="E35" s="723"/>
      <c r="F35" s="723"/>
      <c r="G35" s="723"/>
      <c r="H35" s="723"/>
      <c r="I35" s="723"/>
      <c r="J35" s="723"/>
      <c r="K35" s="723"/>
      <c r="L35" s="723"/>
      <c r="M35" s="723"/>
      <c r="N35" s="723"/>
      <c r="O35" s="723"/>
      <c r="P35" s="724"/>
      <c r="Q35" s="722"/>
      <c r="R35" s="725"/>
    </row>
    <row r="36" spans="1:20">
      <c r="A36" s="701" t="s">
        <v>900</v>
      </c>
      <c r="I36" s="726"/>
      <c r="J36" s="723"/>
      <c r="K36" s="723"/>
      <c r="L36" s="723"/>
      <c r="M36" s="719"/>
      <c r="N36" s="719"/>
      <c r="O36" s="727"/>
      <c r="P36" s="719"/>
      <c r="Q36" s="719"/>
      <c r="R36" s="719"/>
      <c r="S36" s="719"/>
      <c r="T36" s="719"/>
    </row>
    <row r="37" spans="1:20">
      <c r="A37" s="701" t="s">
        <v>901</v>
      </c>
      <c r="I37" s="726"/>
      <c r="J37" s="726"/>
      <c r="K37" s="726"/>
      <c r="L37" s="726"/>
      <c r="M37" s="719"/>
      <c r="N37" s="719"/>
      <c r="O37" s="727"/>
      <c r="P37" s="719"/>
      <c r="Q37" s="719"/>
      <c r="R37" s="719"/>
      <c r="S37" s="719"/>
      <c r="T37" s="719"/>
    </row>
    <row r="38" spans="1:20">
      <c r="A38" s="728" t="s">
        <v>902</v>
      </c>
      <c r="B38" s="728"/>
      <c r="C38" s="728"/>
      <c r="D38" s="728"/>
      <c r="E38" s="728"/>
      <c r="F38" s="728"/>
      <c r="G38" s="728"/>
      <c r="H38" s="728"/>
      <c r="I38" s="728"/>
      <c r="J38" s="728"/>
      <c r="K38" s="719"/>
      <c r="L38" s="719"/>
      <c r="N38" s="729"/>
      <c r="O38" s="729"/>
      <c r="P38" s="729"/>
    </row>
    <row r="43" spans="1:20">
      <c r="B43" s="711"/>
    </row>
    <row r="45" spans="1:20">
      <c r="D45" s="719"/>
    </row>
    <row r="46" spans="1:20">
      <c r="C46" s="731"/>
      <c r="D46" s="731"/>
      <c r="E46" s="719"/>
      <c r="F46" s="1005"/>
      <c r="H46" s="719"/>
      <c r="I46" s="719"/>
      <c r="J46" s="1006"/>
      <c r="K46" s="731"/>
      <c r="M46" s="1007"/>
    </row>
    <row r="47" spans="1:20">
      <c r="C47" s="731"/>
      <c r="D47" s="731"/>
      <c r="E47" s="719"/>
      <c r="F47" s="731"/>
      <c r="H47" s="719"/>
      <c r="I47" s="719"/>
      <c r="J47" s="719"/>
      <c r="K47" s="731"/>
    </row>
    <row r="48" spans="1:20">
      <c r="C48" s="731"/>
      <c r="D48" s="731"/>
      <c r="E48" s="719"/>
      <c r="F48" s="731"/>
      <c r="H48" s="719"/>
      <c r="I48" s="719"/>
      <c r="J48" s="719"/>
      <c r="K48" s="731"/>
    </row>
    <row r="49" spans="3:11">
      <c r="C49" s="731"/>
      <c r="D49" s="731"/>
      <c r="E49" s="719"/>
      <c r="F49" s="731"/>
      <c r="H49" s="719"/>
      <c r="I49" s="719"/>
      <c r="J49" s="719"/>
      <c r="K49" s="731"/>
    </row>
    <row r="50" spans="3:11">
      <c r="C50" s="731"/>
      <c r="D50" s="731"/>
      <c r="E50" s="719"/>
      <c r="F50" s="731"/>
      <c r="H50" s="719"/>
      <c r="I50" s="719"/>
      <c r="J50" s="719"/>
      <c r="K50" s="731"/>
    </row>
    <row r="51" spans="3:11">
      <c r="C51" s="731"/>
      <c r="D51" s="731"/>
      <c r="E51" s="719"/>
      <c r="F51" s="731"/>
      <c r="H51" s="719"/>
      <c r="I51" s="719"/>
      <c r="J51" s="719"/>
      <c r="K51" s="731"/>
    </row>
    <row r="52" spans="3:11">
      <c r="C52" s="731"/>
      <c r="D52" s="731"/>
      <c r="E52" s="719"/>
      <c r="F52" s="731"/>
      <c r="H52" s="719"/>
      <c r="I52" s="719"/>
      <c r="J52" s="719"/>
      <c r="K52" s="731"/>
    </row>
    <row r="53" spans="3:11">
      <c r="C53" s="731"/>
      <c r="D53" s="731"/>
      <c r="E53" s="719"/>
      <c r="F53" s="731"/>
      <c r="H53" s="719"/>
      <c r="I53" s="719"/>
      <c r="J53" s="719"/>
      <c r="K53" s="731"/>
    </row>
    <row r="54" spans="3:11">
      <c r="C54" s="731"/>
      <c r="D54" s="731"/>
      <c r="E54" s="719"/>
      <c r="F54" s="731"/>
      <c r="H54" s="719"/>
      <c r="I54" s="719"/>
      <c r="J54" s="719"/>
      <c r="K54" s="731"/>
    </row>
    <row r="55" spans="3:11">
      <c r="H55" s="719"/>
      <c r="I55" s="719"/>
      <c r="J55" s="719"/>
    </row>
    <row r="57" spans="3:11">
      <c r="D57" s="719"/>
    </row>
    <row r="59" spans="3:11">
      <c r="D59" s="732"/>
    </row>
  </sheetData>
  <mergeCells count="32">
    <mergeCell ref="Q20:Q21"/>
    <mergeCell ref="R20:R21"/>
    <mergeCell ref="A18:R18"/>
    <mergeCell ref="A19:A21"/>
    <mergeCell ref="B19:B21"/>
    <mergeCell ref="C19:F19"/>
    <mergeCell ref="G19:J19"/>
    <mergeCell ref="K19:N19"/>
    <mergeCell ref="O19:P19"/>
    <mergeCell ref="Q19:R19"/>
    <mergeCell ref="C20:D20"/>
    <mergeCell ref="E20:F20"/>
    <mergeCell ref="G20:H20"/>
    <mergeCell ref="I20:J20"/>
    <mergeCell ref="K20:L20"/>
    <mergeCell ref="M20:N20"/>
    <mergeCell ref="O20:O21"/>
    <mergeCell ref="P20:P21"/>
    <mergeCell ref="W3:X3"/>
    <mergeCell ref="I1:O1"/>
    <mergeCell ref="P1:Q1"/>
    <mergeCell ref="A2:X2"/>
    <mergeCell ref="A3:A4"/>
    <mergeCell ref="B3:B4"/>
    <mergeCell ref="C3:E3"/>
    <mergeCell ref="F3:H3"/>
    <mergeCell ref="I3:K3"/>
    <mergeCell ref="L3:N3"/>
    <mergeCell ref="O3:Q3"/>
    <mergeCell ref="R3:T3"/>
    <mergeCell ref="U3:V3"/>
    <mergeCell ref="A1:H1"/>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W24"/>
  <sheetViews>
    <sheetView zoomScaleNormal="100" zoomScaleSheetLayoutView="130" workbookViewId="0">
      <selection activeCell="K30" sqref="K30"/>
    </sheetView>
  </sheetViews>
  <sheetFormatPr defaultColWidth="9.140625" defaultRowHeight="12.75"/>
  <cols>
    <col min="1" max="1" width="9.140625" style="609" customWidth="1"/>
    <col min="2" max="2" width="7.140625" style="609" customWidth="1"/>
    <col min="3" max="3" width="11.42578125" style="609" customWidth="1"/>
    <col min="4" max="4" width="14.140625" style="609" bestFit="1" customWidth="1"/>
    <col min="5" max="5" width="10.28515625" style="609" customWidth="1"/>
    <col min="6" max="6" width="8.7109375" style="609" customWidth="1"/>
    <col min="7" max="11" width="9.140625" style="609"/>
    <col min="12" max="12" width="11.85546875" style="609" customWidth="1"/>
    <col min="13" max="13" width="13.42578125" style="609" customWidth="1"/>
    <col min="14" max="14" width="9.140625" style="609"/>
    <col min="15" max="15" width="12.7109375" style="609" customWidth="1"/>
    <col min="16" max="16" width="9.140625" style="609"/>
    <col min="17" max="17" width="9.5703125" style="609" bestFit="1" customWidth="1"/>
    <col min="18" max="22" width="9.140625" style="609"/>
    <col min="23" max="23" width="8.140625" style="609" customWidth="1"/>
    <col min="24" max="16384" width="9.140625" style="609"/>
  </cols>
  <sheetData>
    <row r="1" spans="1:23" ht="15">
      <c r="A1" s="1478" t="s">
        <v>903</v>
      </c>
      <c r="B1" s="1478"/>
      <c r="C1" s="1479"/>
      <c r="D1" s="1479"/>
      <c r="E1" s="1479"/>
      <c r="F1" s="1479"/>
      <c r="G1" s="1479"/>
      <c r="H1" s="996"/>
      <c r="I1" s="996"/>
      <c r="J1" s="996"/>
      <c r="K1" s="996"/>
      <c r="L1" s="996"/>
      <c r="M1" s="996"/>
      <c r="N1" s="996"/>
      <c r="O1" s="996"/>
    </row>
    <row r="2" spans="1:23" ht="15" customHeight="1">
      <c r="A2" s="1446" t="s">
        <v>779</v>
      </c>
      <c r="B2" s="1446" t="s">
        <v>886</v>
      </c>
      <c r="C2" s="1474" t="s">
        <v>862</v>
      </c>
      <c r="D2" s="1475"/>
      <c r="E2" s="1475"/>
      <c r="F2" s="1475"/>
      <c r="G2" s="1475"/>
      <c r="H2" s="1475"/>
      <c r="I2" s="1475"/>
      <c r="J2" s="1475"/>
      <c r="K2" s="1475"/>
      <c r="L2" s="1475"/>
      <c r="M2" s="1476"/>
      <c r="N2" s="1008"/>
      <c r="O2" s="1008"/>
      <c r="P2" s="1469" t="s">
        <v>863</v>
      </c>
      <c r="Q2" s="1470"/>
      <c r="R2" s="1470"/>
      <c r="S2" s="1470"/>
      <c r="T2" s="1470"/>
      <c r="U2" s="1470"/>
      <c r="V2" s="1470"/>
      <c r="W2" s="1471"/>
    </row>
    <row r="3" spans="1:23" ht="39.75" customHeight="1">
      <c r="A3" s="1480"/>
      <c r="B3" s="1480"/>
      <c r="C3" s="1472" t="s">
        <v>904</v>
      </c>
      <c r="D3" s="1477"/>
      <c r="E3" s="1473"/>
      <c r="F3" s="1472" t="s">
        <v>905</v>
      </c>
      <c r="G3" s="1477"/>
      <c r="H3" s="1473"/>
      <c r="I3" s="1472" t="s">
        <v>1100</v>
      </c>
      <c r="J3" s="1477"/>
      <c r="K3" s="1473"/>
      <c r="L3" s="1472" t="s">
        <v>1186</v>
      </c>
      <c r="M3" s="1473"/>
      <c r="N3" s="1472" t="s">
        <v>892</v>
      </c>
      <c r="O3" s="1473"/>
      <c r="P3" s="1472" t="s">
        <v>907</v>
      </c>
      <c r="Q3" s="1473"/>
      <c r="R3" s="1472" t="s">
        <v>908</v>
      </c>
      <c r="S3" s="1473"/>
      <c r="T3" s="1472" t="s">
        <v>1188</v>
      </c>
      <c r="U3" s="1473"/>
      <c r="V3" s="1472" t="s">
        <v>909</v>
      </c>
      <c r="W3" s="1473"/>
    </row>
    <row r="4" spans="1:23" s="1009" customFormat="1" ht="34.5" customHeight="1">
      <c r="A4" s="1480"/>
      <c r="B4" s="1480"/>
      <c r="C4" s="1446" t="s">
        <v>910</v>
      </c>
      <c r="D4" s="1446" t="s">
        <v>894</v>
      </c>
      <c r="E4" s="1446" t="s">
        <v>1101</v>
      </c>
      <c r="F4" s="1446" t="s">
        <v>911</v>
      </c>
      <c r="G4" s="1446" t="s">
        <v>894</v>
      </c>
      <c r="H4" s="1446" t="s">
        <v>1101</v>
      </c>
      <c r="I4" s="1446" t="s">
        <v>911</v>
      </c>
      <c r="J4" s="1446" t="s">
        <v>894</v>
      </c>
      <c r="K4" s="1446" t="s">
        <v>1101</v>
      </c>
      <c r="L4" s="1446" t="s">
        <v>894</v>
      </c>
      <c r="M4" s="1446" t="s">
        <v>1096</v>
      </c>
      <c r="N4" s="1446" t="s">
        <v>1187</v>
      </c>
      <c r="O4" s="1446" t="s">
        <v>1097</v>
      </c>
      <c r="P4" s="1446" t="s">
        <v>894</v>
      </c>
      <c r="Q4" s="1446" t="s">
        <v>1096</v>
      </c>
      <c r="R4" s="1446" t="s">
        <v>894</v>
      </c>
      <c r="S4" s="1446" t="s">
        <v>1101</v>
      </c>
      <c r="T4" s="1446" t="s">
        <v>894</v>
      </c>
      <c r="U4" s="1446" t="s">
        <v>1101</v>
      </c>
      <c r="V4" s="1446" t="s">
        <v>1187</v>
      </c>
      <c r="W4" s="1446" t="s">
        <v>1102</v>
      </c>
    </row>
    <row r="5" spans="1:23" s="1009" customFormat="1" ht="41.25" customHeight="1">
      <c r="A5" s="1447"/>
      <c r="B5" s="1447"/>
      <c r="C5" s="1447"/>
      <c r="D5" s="1447"/>
      <c r="E5" s="1447"/>
      <c r="F5" s="1447"/>
      <c r="G5" s="1447"/>
      <c r="H5" s="1447"/>
      <c r="I5" s="1447"/>
      <c r="J5" s="1447"/>
      <c r="K5" s="1447"/>
      <c r="L5" s="1447"/>
      <c r="M5" s="1447"/>
      <c r="N5" s="1447"/>
      <c r="O5" s="1447"/>
      <c r="P5" s="1447"/>
      <c r="Q5" s="1447"/>
      <c r="R5" s="1447"/>
      <c r="S5" s="1447"/>
      <c r="T5" s="1447"/>
      <c r="U5" s="1447"/>
      <c r="V5" s="1447"/>
      <c r="W5" s="1447"/>
    </row>
    <row r="6" spans="1:23" s="682" customFormat="1">
      <c r="A6" s="1010" t="s">
        <v>58</v>
      </c>
      <c r="B6" s="734">
        <v>247</v>
      </c>
      <c r="C6" s="734">
        <v>95258.745999999999</v>
      </c>
      <c r="D6" s="734">
        <v>13080142</v>
      </c>
      <c r="E6" s="734">
        <v>441966.96943999996</v>
      </c>
      <c r="F6" s="707" t="s">
        <v>215</v>
      </c>
      <c r="G6" s="707" t="s">
        <v>215</v>
      </c>
      <c r="H6" s="707" t="s">
        <v>215</v>
      </c>
      <c r="I6" s="707" t="s">
        <v>215</v>
      </c>
      <c r="J6" s="707" t="s">
        <v>215</v>
      </c>
      <c r="K6" s="707" t="s">
        <v>215</v>
      </c>
      <c r="L6" s="734">
        <v>13080142</v>
      </c>
      <c r="M6" s="734">
        <v>441966.96943999996</v>
      </c>
      <c r="N6" s="707">
        <v>93073</v>
      </c>
      <c r="O6" s="707">
        <v>2262.96</v>
      </c>
      <c r="P6" s="707">
        <v>1518</v>
      </c>
      <c r="Q6" s="707">
        <v>41.410000000000004</v>
      </c>
      <c r="R6" s="707">
        <v>22</v>
      </c>
      <c r="S6" s="707">
        <v>0.74</v>
      </c>
      <c r="T6" s="735">
        <f t="shared" ref="T6:U10" si="0">P6+R6</f>
        <v>1540</v>
      </c>
      <c r="U6" s="735">
        <f t="shared" si="0"/>
        <v>42.150000000000006</v>
      </c>
      <c r="V6" s="707">
        <v>0</v>
      </c>
      <c r="W6" s="707">
        <v>0</v>
      </c>
    </row>
    <row r="7" spans="1:23" s="682" customFormat="1">
      <c r="A7" s="1010" t="s">
        <v>61</v>
      </c>
      <c r="B7" s="734">
        <f>SUM(B8:B18)</f>
        <v>228</v>
      </c>
      <c r="C7" s="734">
        <f t="shared" ref="C7:L7" si="1">SUM(C8:C18)</f>
        <v>55177.939000000013</v>
      </c>
      <c r="D7" s="734">
        <f t="shared" si="1"/>
        <v>8713522</v>
      </c>
      <c r="E7" s="734">
        <f t="shared" si="1"/>
        <v>274474.5068575</v>
      </c>
      <c r="F7" s="734">
        <f t="shared" si="1"/>
        <v>6.0540000000000012</v>
      </c>
      <c r="G7" s="734">
        <f t="shared" si="1"/>
        <v>6054</v>
      </c>
      <c r="H7" s="734">
        <f t="shared" si="1"/>
        <v>324.07083749999998</v>
      </c>
      <c r="I7" s="734">
        <f t="shared" si="1"/>
        <v>17</v>
      </c>
      <c r="J7" s="734">
        <f t="shared" si="1"/>
        <v>1700</v>
      </c>
      <c r="K7" s="734">
        <f t="shared" si="1"/>
        <v>63.008379999999995</v>
      </c>
      <c r="L7" s="734">
        <f t="shared" si="1"/>
        <v>8721276</v>
      </c>
      <c r="M7" s="734">
        <f>SUM(M8:M18)</f>
        <v>274861.586075</v>
      </c>
      <c r="N7" s="734">
        <f>N18</f>
        <v>119839</v>
      </c>
      <c r="O7" s="734">
        <f>O18</f>
        <v>3711.1</v>
      </c>
      <c r="P7" s="734">
        <f>SUM(P8:P18)</f>
        <v>323</v>
      </c>
      <c r="Q7" s="734">
        <f t="shared" ref="Q7:U7" si="2">SUM(Q8:Q18)</f>
        <v>9.9899999999999984</v>
      </c>
      <c r="R7" s="734">
        <f t="shared" si="2"/>
        <v>501</v>
      </c>
      <c r="S7" s="734">
        <f t="shared" si="2"/>
        <v>22.160000000000004</v>
      </c>
      <c r="T7" s="734">
        <f t="shared" si="2"/>
        <v>824</v>
      </c>
      <c r="U7" s="734">
        <f t="shared" si="2"/>
        <v>32.15</v>
      </c>
      <c r="V7" s="707">
        <f>V18</f>
        <v>381</v>
      </c>
      <c r="W7" s="707">
        <f>W18</f>
        <v>15.83</v>
      </c>
    </row>
    <row r="8" spans="1:23">
      <c r="A8" s="708">
        <v>43922</v>
      </c>
      <c r="B8" s="714">
        <v>18</v>
      </c>
      <c r="C8" s="714">
        <v>3043.8969999999999</v>
      </c>
      <c r="D8" s="714">
        <v>491426</v>
      </c>
      <c r="E8" s="714">
        <v>12560.803809999999</v>
      </c>
      <c r="F8" s="713" t="s">
        <v>215</v>
      </c>
      <c r="G8" s="713" t="s">
        <v>215</v>
      </c>
      <c r="H8" s="713" t="s">
        <v>215</v>
      </c>
      <c r="I8" s="713"/>
      <c r="J8" s="713"/>
      <c r="K8" s="713"/>
      <c r="L8" s="713">
        <f>SUM(D8,G8)</f>
        <v>491426</v>
      </c>
      <c r="M8" s="714">
        <f t="shared" ref="M8:M10" si="3">SUM(E8,H8)</f>
        <v>12560.803809999999</v>
      </c>
      <c r="N8" s="713">
        <v>69860</v>
      </c>
      <c r="O8" s="713">
        <v>1730.2965362499999</v>
      </c>
      <c r="P8" s="713">
        <v>20</v>
      </c>
      <c r="Q8" s="736">
        <v>0.68</v>
      </c>
      <c r="R8" s="713">
        <v>1</v>
      </c>
      <c r="S8" s="736">
        <v>0.02</v>
      </c>
      <c r="T8" s="737">
        <f t="shared" si="0"/>
        <v>21</v>
      </c>
      <c r="U8" s="737">
        <f t="shared" si="0"/>
        <v>0.70000000000000007</v>
      </c>
      <c r="V8" s="713">
        <v>1</v>
      </c>
      <c r="W8" s="738">
        <v>0.02</v>
      </c>
    </row>
    <row r="9" spans="1:23">
      <c r="A9" s="708">
        <v>43953</v>
      </c>
      <c r="B9" s="714">
        <v>19</v>
      </c>
      <c r="C9" s="714">
        <v>2738.5650000000019</v>
      </c>
      <c r="D9" s="714">
        <v>417099</v>
      </c>
      <c r="E9" s="714">
        <v>11098.384330000001</v>
      </c>
      <c r="F9" s="713">
        <v>1.357</v>
      </c>
      <c r="G9" s="713">
        <v>1357</v>
      </c>
      <c r="H9" s="713">
        <v>69.074012499999995</v>
      </c>
      <c r="I9" s="713"/>
      <c r="J9" s="713"/>
      <c r="K9" s="713"/>
      <c r="L9" s="713">
        <f t="shared" ref="L9:L10" si="4">SUM(D9,G9)</f>
        <v>418456</v>
      </c>
      <c r="M9" s="714">
        <f t="shared" si="3"/>
        <v>11167.4583425</v>
      </c>
      <c r="N9" s="713">
        <v>63805</v>
      </c>
      <c r="O9" s="713">
        <v>1656.4984999999999</v>
      </c>
      <c r="P9" s="713">
        <v>50</v>
      </c>
      <c r="Q9" s="736">
        <v>1.53</v>
      </c>
      <c r="R9" s="713">
        <v>0</v>
      </c>
      <c r="S9" s="736">
        <v>0</v>
      </c>
      <c r="T9" s="737">
        <f t="shared" si="0"/>
        <v>50</v>
      </c>
      <c r="U9" s="737">
        <f t="shared" si="0"/>
        <v>1.53</v>
      </c>
      <c r="V9" s="713">
        <v>50</v>
      </c>
      <c r="W9" s="738">
        <v>0.13</v>
      </c>
    </row>
    <row r="10" spans="1:23">
      <c r="A10" s="708">
        <v>43985</v>
      </c>
      <c r="B10" s="714">
        <v>22</v>
      </c>
      <c r="C10" s="714">
        <v>4488.21</v>
      </c>
      <c r="D10" s="714">
        <v>664305</v>
      </c>
      <c r="E10" s="714">
        <v>18815.042364999998</v>
      </c>
      <c r="F10" s="713">
        <v>2.0209999999999999</v>
      </c>
      <c r="G10" s="713">
        <v>2021</v>
      </c>
      <c r="H10" s="713">
        <v>105.1227375</v>
      </c>
      <c r="I10" s="713"/>
      <c r="J10" s="713"/>
      <c r="K10" s="713"/>
      <c r="L10" s="713">
        <f t="shared" si="4"/>
        <v>666326</v>
      </c>
      <c r="M10" s="714">
        <f t="shared" si="3"/>
        <v>18920.165102499999</v>
      </c>
      <c r="N10" s="713">
        <v>65440</v>
      </c>
      <c r="O10" s="713">
        <v>1778.5999999999997</v>
      </c>
      <c r="P10" s="713">
        <v>80</v>
      </c>
      <c r="Q10" s="736">
        <v>2.65</v>
      </c>
      <c r="R10" s="713">
        <v>0</v>
      </c>
      <c r="S10" s="736">
        <v>0</v>
      </c>
      <c r="T10" s="737">
        <f t="shared" si="0"/>
        <v>80</v>
      </c>
      <c r="U10" s="737">
        <f t="shared" si="0"/>
        <v>2.65</v>
      </c>
      <c r="V10" s="713">
        <v>80</v>
      </c>
      <c r="W10" s="738">
        <v>0.26</v>
      </c>
    </row>
    <row r="11" spans="1:23">
      <c r="A11" s="708">
        <v>44016</v>
      </c>
      <c r="B11" s="714">
        <v>23</v>
      </c>
      <c r="C11" s="714">
        <v>4228.302999999999</v>
      </c>
      <c r="D11" s="714">
        <v>624760</v>
      </c>
      <c r="E11" s="714">
        <v>18009.332005000007</v>
      </c>
      <c r="F11" s="713">
        <v>0.85500000000000032</v>
      </c>
      <c r="G11" s="713">
        <v>855</v>
      </c>
      <c r="H11" s="713">
        <v>44.821050000000014</v>
      </c>
      <c r="I11" s="713"/>
      <c r="J11" s="713"/>
      <c r="K11" s="713"/>
      <c r="L11" s="713">
        <v>625615</v>
      </c>
      <c r="M11" s="714">
        <v>18054.153055000006</v>
      </c>
      <c r="N11" s="713">
        <v>65264</v>
      </c>
      <c r="O11" s="713">
        <v>1959.0900000000004</v>
      </c>
      <c r="P11" s="713">
        <v>2</v>
      </c>
      <c r="Q11" s="736">
        <v>0.1</v>
      </c>
      <c r="R11" s="713">
        <v>0</v>
      </c>
      <c r="S11" s="739">
        <v>0</v>
      </c>
      <c r="T11" s="737">
        <v>2</v>
      </c>
      <c r="U11" s="737">
        <v>0.1</v>
      </c>
      <c r="V11" s="713">
        <v>0</v>
      </c>
      <c r="W11" s="738">
        <v>0</v>
      </c>
    </row>
    <row r="12" spans="1:23">
      <c r="A12" s="708">
        <v>44048</v>
      </c>
      <c r="B12" s="714">
        <v>21</v>
      </c>
      <c r="C12" s="714">
        <v>4991.0330000000022</v>
      </c>
      <c r="D12" s="714">
        <v>761709</v>
      </c>
      <c r="E12" s="714">
        <v>23905.798659999997</v>
      </c>
      <c r="F12" s="713">
        <v>0.43800000000000017</v>
      </c>
      <c r="G12" s="713">
        <v>438</v>
      </c>
      <c r="H12" s="713">
        <v>23.934024999999995</v>
      </c>
      <c r="I12" s="713"/>
      <c r="J12" s="713"/>
      <c r="K12" s="713"/>
      <c r="L12" s="713">
        <v>762147</v>
      </c>
      <c r="M12" s="714">
        <v>23929.732684999995</v>
      </c>
      <c r="N12" s="713">
        <v>74187</v>
      </c>
      <c r="O12" s="713">
        <v>2323.35889</v>
      </c>
      <c r="P12" s="713">
        <v>0</v>
      </c>
      <c r="Q12" s="736">
        <v>0</v>
      </c>
      <c r="R12" s="713">
        <v>0</v>
      </c>
      <c r="S12" s="736">
        <v>0</v>
      </c>
      <c r="T12" s="713">
        <v>0</v>
      </c>
      <c r="U12" s="736">
        <v>0</v>
      </c>
      <c r="V12" s="713">
        <v>0</v>
      </c>
      <c r="W12" s="736">
        <v>0</v>
      </c>
    </row>
    <row r="13" spans="1:23">
      <c r="A13" s="708">
        <v>44080</v>
      </c>
      <c r="B13" s="714">
        <v>22</v>
      </c>
      <c r="C13" s="714">
        <v>5512.668000000006</v>
      </c>
      <c r="D13" s="714">
        <v>850386</v>
      </c>
      <c r="E13" s="714">
        <v>28586.371479999998</v>
      </c>
      <c r="F13" s="713">
        <v>0.21100000000000005</v>
      </c>
      <c r="G13" s="713">
        <v>211</v>
      </c>
      <c r="H13" s="713">
        <v>11.932862500000002</v>
      </c>
      <c r="I13" s="713"/>
      <c r="J13" s="713"/>
      <c r="K13" s="713"/>
      <c r="L13" s="713">
        <v>850597</v>
      </c>
      <c r="M13" s="714">
        <v>28598.3043425</v>
      </c>
      <c r="N13" s="713">
        <v>75975</v>
      </c>
      <c r="O13" s="713">
        <v>2328.3580499999998</v>
      </c>
      <c r="P13" s="713">
        <v>17</v>
      </c>
      <c r="Q13" s="736">
        <v>0.98</v>
      </c>
      <c r="R13" s="713">
        <v>4</v>
      </c>
      <c r="S13" s="736">
        <v>0.09</v>
      </c>
      <c r="T13" s="713">
        <v>21</v>
      </c>
      <c r="U13" s="736">
        <v>1.07</v>
      </c>
      <c r="V13" s="713">
        <v>19</v>
      </c>
      <c r="W13" s="736">
        <v>0.1</v>
      </c>
    </row>
    <row r="14" spans="1:23">
      <c r="A14" s="708">
        <v>44111</v>
      </c>
      <c r="B14" s="714">
        <v>21</v>
      </c>
      <c r="C14" s="714">
        <v>6167.4600000000009</v>
      </c>
      <c r="D14" s="714">
        <v>1016400</v>
      </c>
      <c r="E14" s="714">
        <v>32532.935704999993</v>
      </c>
      <c r="F14" s="713">
        <v>0.41600000000000004</v>
      </c>
      <c r="G14" s="713">
        <v>416</v>
      </c>
      <c r="H14" s="713">
        <v>24.443999999999996</v>
      </c>
      <c r="I14" s="713"/>
      <c r="J14" s="713"/>
      <c r="K14" s="713"/>
      <c r="L14" s="713">
        <v>1016816</v>
      </c>
      <c r="M14" s="714">
        <v>32557.379704999992</v>
      </c>
      <c r="N14" s="713">
        <v>98368</v>
      </c>
      <c r="O14" s="713">
        <v>3032.1699999999996</v>
      </c>
      <c r="P14" s="713">
        <v>134</v>
      </c>
      <c r="Q14" s="736">
        <v>3.62</v>
      </c>
      <c r="R14" s="713">
        <v>0</v>
      </c>
      <c r="S14" s="736">
        <v>0</v>
      </c>
      <c r="T14" s="713">
        <v>134</v>
      </c>
      <c r="U14" s="736">
        <v>3.62</v>
      </c>
      <c r="V14" s="713">
        <v>59</v>
      </c>
      <c r="W14" s="736">
        <v>0.19</v>
      </c>
    </row>
    <row r="15" spans="1:23">
      <c r="A15" s="708">
        <v>44143</v>
      </c>
      <c r="B15" s="714">
        <v>20</v>
      </c>
      <c r="C15" s="714">
        <v>5773.6199999999963</v>
      </c>
      <c r="D15" s="714">
        <v>949606</v>
      </c>
      <c r="E15" s="714">
        <v>31275.754540000002</v>
      </c>
      <c r="F15" s="713">
        <v>0.25700000000000006</v>
      </c>
      <c r="G15" s="713">
        <v>257</v>
      </c>
      <c r="H15" s="713">
        <v>15.492687499999999</v>
      </c>
      <c r="I15" s="713"/>
      <c r="J15" s="713"/>
      <c r="K15" s="713"/>
      <c r="L15" s="713">
        <v>949863</v>
      </c>
      <c r="M15" s="714">
        <v>31291.2472275</v>
      </c>
      <c r="N15" s="713">
        <v>121177</v>
      </c>
      <c r="O15" s="713">
        <v>3517.67</v>
      </c>
      <c r="P15" s="713">
        <v>20</v>
      </c>
      <c r="Q15" s="736">
        <v>0.43</v>
      </c>
      <c r="R15" s="713">
        <v>118</v>
      </c>
      <c r="S15" s="736">
        <v>6.22</v>
      </c>
      <c r="T15" s="713">
        <v>138</v>
      </c>
      <c r="U15" s="736">
        <v>6.6499999999999995</v>
      </c>
      <c r="V15" s="713">
        <v>188</v>
      </c>
      <c r="W15" s="736">
        <v>8.0399999999999991</v>
      </c>
    </row>
    <row r="16" spans="1:23">
      <c r="A16" s="708">
        <v>44174</v>
      </c>
      <c r="B16" s="714">
        <v>22</v>
      </c>
      <c r="C16" s="714">
        <v>6403.6300000000056</v>
      </c>
      <c r="D16" s="714">
        <v>1052955</v>
      </c>
      <c r="E16" s="714">
        <v>34245.107249999994</v>
      </c>
      <c r="F16" s="713">
        <v>0.14700000000000002</v>
      </c>
      <c r="G16" s="713">
        <v>147</v>
      </c>
      <c r="H16" s="713">
        <v>8.4832625000000004</v>
      </c>
      <c r="I16" s="713"/>
      <c r="J16" s="713"/>
      <c r="K16" s="713"/>
      <c r="L16" s="713">
        <v>1053102</v>
      </c>
      <c r="M16" s="714">
        <v>34253.590512499992</v>
      </c>
      <c r="N16" s="713">
        <v>125247</v>
      </c>
      <c r="O16" s="713">
        <v>3656.5119924999999</v>
      </c>
      <c r="P16" s="713">
        <v>0</v>
      </c>
      <c r="Q16" s="736">
        <v>0</v>
      </c>
      <c r="R16" s="713">
        <v>303</v>
      </c>
      <c r="S16" s="736">
        <v>13.41</v>
      </c>
      <c r="T16" s="713">
        <v>303</v>
      </c>
      <c r="U16" s="736">
        <v>13.41</v>
      </c>
      <c r="V16" s="713">
        <v>350</v>
      </c>
      <c r="W16" s="736">
        <v>16.11</v>
      </c>
    </row>
    <row r="17" spans="1:23">
      <c r="A17" s="708">
        <v>44206</v>
      </c>
      <c r="B17" s="714">
        <v>20</v>
      </c>
      <c r="C17" s="714">
        <v>5981.3160000000016</v>
      </c>
      <c r="D17" s="714">
        <v>969349</v>
      </c>
      <c r="E17" s="714">
        <v>32693.171869999987</v>
      </c>
      <c r="F17" s="713">
        <v>0.21700000000000003</v>
      </c>
      <c r="G17" s="713">
        <v>217</v>
      </c>
      <c r="H17" s="713">
        <v>12.726925000000001</v>
      </c>
      <c r="I17" s="713">
        <v>6.59</v>
      </c>
      <c r="J17" s="713">
        <v>659</v>
      </c>
      <c r="K17" s="713">
        <v>24.235309999999998</v>
      </c>
      <c r="L17" s="713">
        <v>970225</v>
      </c>
      <c r="M17" s="714">
        <v>32730.13410499999</v>
      </c>
      <c r="N17" s="713">
        <v>123910</v>
      </c>
      <c r="O17" s="713">
        <v>3456.0199999999995</v>
      </c>
      <c r="P17" s="713">
        <v>0</v>
      </c>
      <c r="Q17" s="736">
        <v>0</v>
      </c>
      <c r="R17" s="713">
        <v>38</v>
      </c>
      <c r="S17" s="736">
        <v>1.23</v>
      </c>
      <c r="T17" s="713">
        <v>38</v>
      </c>
      <c r="U17" s="736">
        <v>1.23</v>
      </c>
      <c r="V17" s="713">
        <v>370</v>
      </c>
      <c r="W17" s="736">
        <v>16.43</v>
      </c>
    </row>
    <row r="18" spans="1:23">
      <c r="A18" s="708">
        <v>44228</v>
      </c>
      <c r="B18" s="714">
        <v>20</v>
      </c>
      <c r="C18" s="714">
        <v>5849.2370000000046</v>
      </c>
      <c r="D18" s="714">
        <v>915527</v>
      </c>
      <c r="E18" s="714">
        <v>30751.804842499998</v>
      </c>
      <c r="F18" s="713">
        <v>0.13500000000000004</v>
      </c>
      <c r="G18" s="713">
        <v>135</v>
      </c>
      <c r="H18" s="713">
        <v>8.0392749999999999</v>
      </c>
      <c r="I18" s="713">
        <v>10.41</v>
      </c>
      <c r="J18" s="713">
        <v>1041</v>
      </c>
      <c r="K18" s="713">
        <v>38.773069999999997</v>
      </c>
      <c r="L18" s="713">
        <v>916703</v>
      </c>
      <c r="M18" s="714">
        <v>30798.617187499996</v>
      </c>
      <c r="N18" s="713">
        <v>119839</v>
      </c>
      <c r="O18" s="713">
        <v>3711.1</v>
      </c>
      <c r="P18" s="713">
        <v>0</v>
      </c>
      <c r="Q18" s="736">
        <v>0</v>
      </c>
      <c r="R18" s="713">
        <v>37</v>
      </c>
      <c r="S18" s="736">
        <v>1.19</v>
      </c>
      <c r="T18" s="713">
        <v>37</v>
      </c>
      <c r="U18" s="736">
        <v>1.19</v>
      </c>
      <c r="V18" s="713">
        <v>381</v>
      </c>
      <c r="W18" s="736">
        <v>15.83</v>
      </c>
    </row>
    <row r="19" spans="1:23">
      <c r="A19" s="609" t="str">
        <f>'[1]1'!A8</f>
        <v>$ indicates as on February 28, 2021</v>
      </c>
      <c r="B19" s="1011"/>
      <c r="C19" s="1011"/>
      <c r="D19" s="971"/>
      <c r="E19" s="971"/>
      <c r="F19" s="740"/>
      <c r="G19" s="741"/>
      <c r="H19" s="741"/>
      <c r="I19" s="741"/>
      <c r="J19" s="741"/>
      <c r="K19" s="741"/>
      <c r="L19" s="741"/>
      <c r="M19" s="971"/>
      <c r="N19" s="741"/>
      <c r="O19" s="741"/>
      <c r="P19" s="740"/>
      <c r="Q19" s="742"/>
      <c r="R19" s="740"/>
      <c r="S19" s="742"/>
      <c r="T19" s="740"/>
      <c r="U19" s="742"/>
      <c r="V19" s="740"/>
      <c r="W19" s="742"/>
    </row>
    <row r="20" spans="1:23">
      <c r="A20" s="716" t="s">
        <v>1103</v>
      </c>
      <c r="B20" s="971"/>
      <c r="C20" s="971"/>
      <c r="D20" s="971"/>
      <c r="E20" s="971"/>
      <c r="F20" s="740"/>
      <c r="G20" s="741"/>
      <c r="H20" s="741"/>
      <c r="I20" s="741"/>
      <c r="J20" s="741"/>
      <c r="K20" s="741"/>
      <c r="L20" s="741" t="s">
        <v>876</v>
      </c>
      <c r="M20" s="741"/>
      <c r="N20" s="741"/>
      <c r="O20" s="741"/>
      <c r="P20" s="740"/>
      <c r="Q20" s="742"/>
      <c r="R20" s="743"/>
      <c r="S20" s="742"/>
      <c r="T20" s="740"/>
      <c r="U20" s="742"/>
      <c r="V20" s="740"/>
      <c r="W20" s="742"/>
    </row>
    <row r="21" spans="1:23">
      <c r="A21" s="716" t="s">
        <v>1104</v>
      </c>
      <c r="B21" s="971"/>
      <c r="C21" s="971"/>
      <c r="D21" s="971"/>
      <c r="E21" s="971"/>
      <c r="F21" s="740"/>
      <c r="G21" s="741"/>
      <c r="H21" s="741"/>
      <c r="I21" s="741"/>
      <c r="J21" s="741"/>
      <c r="K21" s="741"/>
      <c r="L21" s="741"/>
      <c r="M21" s="741"/>
      <c r="N21" s="741"/>
      <c r="O21" s="741"/>
      <c r="P21" s="740"/>
      <c r="Q21" s="742"/>
      <c r="R21" s="743"/>
      <c r="S21" s="742"/>
      <c r="T21" s="740"/>
      <c r="U21" s="742"/>
      <c r="V21" s="740"/>
      <c r="W21" s="742"/>
    </row>
    <row r="22" spans="1:23">
      <c r="A22" s="1012" t="s">
        <v>1189</v>
      </c>
      <c r="B22" s="1013"/>
      <c r="C22" s="1013"/>
      <c r="D22" s="1013"/>
      <c r="E22" s="1013"/>
      <c r="F22" s="740"/>
      <c r="G22" s="741"/>
      <c r="H22" s="741"/>
      <c r="I22" s="741"/>
      <c r="J22" s="741"/>
      <c r="K22" s="741"/>
      <c r="L22" s="741"/>
      <c r="M22" s="741"/>
      <c r="N22" s="741"/>
      <c r="O22" s="741"/>
      <c r="P22" s="740"/>
      <c r="Q22" s="742"/>
      <c r="R22" s="743"/>
      <c r="S22" s="742"/>
      <c r="T22" s="740"/>
      <c r="U22" s="742"/>
      <c r="V22" s="740"/>
      <c r="W22" s="742"/>
    </row>
    <row r="23" spans="1:23">
      <c r="A23" s="1014" t="s">
        <v>912</v>
      </c>
      <c r="C23" s="1015"/>
      <c r="D23" s="609" t="s">
        <v>876</v>
      </c>
      <c r="F23" s="1016"/>
      <c r="G23" s="970"/>
      <c r="H23" s="970" t="s">
        <v>876</v>
      </c>
      <c r="I23" s="970"/>
      <c r="J23" s="970"/>
      <c r="K23" s="970"/>
      <c r="L23" s="741" t="s">
        <v>876</v>
      </c>
      <c r="M23" s="741"/>
      <c r="N23" s="741"/>
      <c r="O23" s="970"/>
      <c r="P23" s="1017"/>
      <c r="Q23" s="1018"/>
      <c r="R23" s="1019"/>
      <c r="V23" s="609" t="s">
        <v>876</v>
      </c>
    </row>
    <row r="24" spans="1:23">
      <c r="A24" s="1014"/>
      <c r="B24" s="1014"/>
      <c r="C24" s="1014"/>
      <c r="D24" s="636"/>
      <c r="E24" s="636"/>
      <c r="F24" s="636"/>
      <c r="G24" s="636"/>
      <c r="H24" s="636"/>
      <c r="I24" s="636"/>
      <c r="J24" s="636"/>
      <c r="K24" s="636"/>
      <c r="L24" s="636"/>
      <c r="M24" s="636"/>
      <c r="N24" s="636"/>
      <c r="O24" s="636"/>
      <c r="P24" s="636"/>
      <c r="Q24" s="636"/>
      <c r="R24" s="636"/>
    </row>
  </sheetData>
  <mergeCells count="36">
    <mergeCell ref="U4:U5"/>
    <mergeCell ref="V4:V5"/>
    <mergeCell ref="W4:W5"/>
    <mergeCell ref="T4:T5"/>
    <mergeCell ref="I4:I5"/>
    <mergeCell ref="J4:J5"/>
    <mergeCell ref="K4:K5"/>
    <mergeCell ref="L4:L5"/>
    <mergeCell ref="M4:M5"/>
    <mergeCell ref="N4:N5"/>
    <mergeCell ref="O4:O5"/>
    <mergeCell ref="P4:P5"/>
    <mergeCell ref="Q4:Q5"/>
    <mergeCell ref="R4:R5"/>
    <mergeCell ref="S4:S5"/>
    <mergeCell ref="A1:E1"/>
    <mergeCell ref="F1:G1"/>
    <mergeCell ref="A2:A5"/>
    <mergeCell ref="B2:B5"/>
    <mergeCell ref="C4:C5"/>
    <mergeCell ref="D4:D5"/>
    <mergeCell ref="E4:E5"/>
    <mergeCell ref="F4:F5"/>
    <mergeCell ref="G4:G5"/>
    <mergeCell ref="H4:H5"/>
    <mergeCell ref="C2:M2"/>
    <mergeCell ref="I3:K3"/>
    <mergeCell ref="L3:M3"/>
    <mergeCell ref="C3:E3"/>
    <mergeCell ref="F3:H3"/>
    <mergeCell ref="P2:W2"/>
    <mergeCell ref="N3:O3"/>
    <mergeCell ref="P3:Q3"/>
    <mergeCell ref="R3:S3"/>
    <mergeCell ref="T3:U3"/>
    <mergeCell ref="V3:W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20"/>
  <sheetViews>
    <sheetView zoomScaleNormal="100" zoomScaleSheetLayoutView="130" workbookViewId="0">
      <selection activeCell="G22" sqref="G22"/>
    </sheetView>
  </sheetViews>
  <sheetFormatPr defaultRowHeight="12.75"/>
  <cols>
    <col min="1" max="2" width="9.140625" style="463"/>
    <col min="3" max="3" width="10.5703125" style="463" bestFit="1" customWidth="1"/>
    <col min="4" max="4" width="9.28515625" style="463" bestFit="1" customWidth="1"/>
    <col min="5" max="5" width="9.140625" style="463"/>
    <col min="6" max="6" width="9.85546875" style="463" customWidth="1"/>
    <col min="7" max="7" width="9.85546875" style="463" bestFit="1" customWidth="1"/>
    <col min="8" max="8" width="9.28515625" style="463" bestFit="1" customWidth="1"/>
    <col min="9" max="9" width="13.28515625" style="463" customWidth="1"/>
    <col min="10" max="10" width="9.42578125" style="463" customWidth="1"/>
    <col min="11" max="11" width="9.140625" style="463"/>
    <col min="12" max="12" width="11.7109375" style="463" bestFit="1" customWidth="1"/>
    <col min="13" max="13" width="11.85546875" style="463" bestFit="1" customWidth="1"/>
    <col min="14" max="16384" width="9.140625" style="463"/>
  </cols>
  <sheetData>
    <row r="1" spans="1:15" ht="15" customHeight="1">
      <c r="A1" s="745" t="s">
        <v>913</v>
      </c>
      <c r="B1" s="745"/>
      <c r="F1" s="744"/>
      <c r="G1" s="744"/>
      <c r="I1" s="745"/>
      <c r="J1" s="746"/>
      <c r="K1" s="663"/>
    </row>
    <row r="2" spans="1:15" ht="18.75" customHeight="1">
      <c r="A2" s="1481" t="s">
        <v>862</v>
      </c>
      <c r="B2" s="1482"/>
      <c r="C2" s="1482"/>
      <c r="D2" s="1482"/>
      <c r="E2" s="1482"/>
      <c r="F2" s="1482"/>
      <c r="G2" s="1482"/>
      <c r="H2" s="1482"/>
      <c r="I2" s="1482"/>
      <c r="J2" s="1482"/>
      <c r="K2" s="1482"/>
      <c r="L2" s="1482"/>
      <c r="M2" s="1482"/>
      <c r="N2" s="1482"/>
      <c r="O2" s="1483"/>
    </row>
    <row r="3" spans="1:15" ht="41.25" customHeight="1">
      <c r="A3" s="1448" t="s">
        <v>779</v>
      </c>
      <c r="B3" s="1448" t="s">
        <v>886</v>
      </c>
      <c r="C3" s="1458" t="s">
        <v>904</v>
      </c>
      <c r="D3" s="1459"/>
      <c r="E3" s="1460"/>
      <c r="F3" s="1458" t="s">
        <v>964</v>
      </c>
      <c r="G3" s="1459"/>
      <c r="H3" s="1460"/>
      <c r="I3" s="1458" t="s">
        <v>1190</v>
      </c>
      <c r="J3" s="1459"/>
      <c r="K3" s="1460"/>
      <c r="L3" s="1458" t="s">
        <v>906</v>
      </c>
      <c r="M3" s="1460"/>
      <c r="N3" s="1458" t="s">
        <v>892</v>
      </c>
      <c r="O3" s="1460"/>
    </row>
    <row r="4" spans="1:15" ht="38.25">
      <c r="A4" s="1449"/>
      <c r="B4" s="1449"/>
      <c r="C4" s="987" t="s">
        <v>914</v>
      </c>
      <c r="D4" s="987" t="s">
        <v>894</v>
      </c>
      <c r="E4" s="987" t="s">
        <v>1101</v>
      </c>
      <c r="F4" s="987" t="s">
        <v>910</v>
      </c>
      <c r="G4" s="987" t="s">
        <v>894</v>
      </c>
      <c r="H4" s="987" t="s">
        <v>1101</v>
      </c>
      <c r="I4" s="987" t="s">
        <v>915</v>
      </c>
      <c r="J4" s="987" t="s">
        <v>894</v>
      </c>
      <c r="K4" s="985" t="s">
        <v>1101</v>
      </c>
      <c r="L4" s="987" t="s">
        <v>894</v>
      </c>
      <c r="M4" s="987" t="s">
        <v>1101</v>
      </c>
      <c r="N4" s="987" t="s">
        <v>1187</v>
      </c>
      <c r="O4" s="987" t="s">
        <v>1097</v>
      </c>
    </row>
    <row r="5" spans="1:15">
      <c r="A5" s="733" t="s">
        <v>58</v>
      </c>
      <c r="B5" s="718">
        <v>259</v>
      </c>
      <c r="C5" s="707">
        <v>821.73900000000015</v>
      </c>
      <c r="D5" s="718">
        <v>268376</v>
      </c>
      <c r="E5" s="718">
        <v>5353.5233730000009</v>
      </c>
      <c r="F5" s="718">
        <v>2450.7099999999996</v>
      </c>
      <c r="G5" s="718">
        <v>245071</v>
      </c>
      <c r="H5" s="718">
        <v>7437.7322999999997</v>
      </c>
      <c r="I5" s="718">
        <v>78395209</v>
      </c>
      <c r="J5" s="718">
        <v>78395209</v>
      </c>
      <c r="K5" s="718">
        <v>27720.037507274999</v>
      </c>
      <c r="L5" s="718">
        <v>78908656</v>
      </c>
      <c r="M5" s="747">
        <v>40511.292178220006</v>
      </c>
      <c r="N5" s="718">
        <v>8290</v>
      </c>
      <c r="O5" s="718">
        <v>19.32</v>
      </c>
    </row>
    <row r="6" spans="1:15">
      <c r="A6" s="733" t="s">
        <v>61</v>
      </c>
      <c r="B6" s="718">
        <f>SUM(B7:B17)</f>
        <v>232</v>
      </c>
      <c r="C6" s="718">
        <f t="shared" ref="C6:M6" si="0">SUM(C7:C17)</f>
        <v>65.2637</v>
      </c>
      <c r="D6" s="718">
        <f t="shared" si="0"/>
        <v>16265</v>
      </c>
      <c r="E6" s="718">
        <f t="shared" si="0"/>
        <v>313.91781300000002</v>
      </c>
      <c r="F6" s="718">
        <f t="shared" si="0"/>
        <v>259.07000000000005</v>
      </c>
      <c r="G6" s="718">
        <f t="shared" si="0"/>
        <v>25907</v>
      </c>
      <c r="H6" s="718">
        <f t="shared" si="0"/>
        <v>775.73641000000009</v>
      </c>
      <c r="I6" s="718">
        <f t="shared" si="0"/>
        <v>1457810</v>
      </c>
      <c r="J6" s="718">
        <f t="shared" si="0"/>
        <v>1457810</v>
      </c>
      <c r="K6" s="718">
        <f t="shared" si="0"/>
        <v>554.02706486</v>
      </c>
      <c r="L6" s="718">
        <f t="shared" si="0"/>
        <v>1499982</v>
      </c>
      <c r="M6" s="718">
        <f t="shared" si="0"/>
        <v>1643.6779108599999</v>
      </c>
      <c r="N6" s="718">
        <f>N17</f>
        <v>50</v>
      </c>
      <c r="O6" s="718">
        <f>O17</f>
        <v>0.39</v>
      </c>
    </row>
    <row r="7" spans="1:15">
      <c r="A7" s="748">
        <v>43922</v>
      </c>
      <c r="B7" s="709">
        <v>18</v>
      </c>
      <c r="C7" s="709">
        <v>50.837699999999998</v>
      </c>
      <c r="D7" s="709">
        <v>9581</v>
      </c>
      <c r="E7" s="709">
        <v>213.02189999999999</v>
      </c>
      <c r="F7" s="709">
        <v>159.34</v>
      </c>
      <c r="G7" s="709">
        <v>15934</v>
      </c>
      <c r="H7" s="709">
        <v>472.86930000000001</v>
      </c>
      <c r="I7" s="709">
        <v>655886</v>
      </c>
      <c r="J7" s="709">
        <v>655886</v>
      </c>
      <c r="K7" s="709">
        <v>250.5</v>
      </c>
      <c r="L7" s="710">
        <v>681401</v>
      </c>
      <c r="M7" s="710">
        <v>936.39175</v>
      </c>
      <c r="N7" s="709">
        <v>14307</v>
      </c>
      <c r="O7" s="709">
        <v>19.649999999999999</v>
      </c>
    </row>
    <row r="8" spans="1:15">
      <c r="A8" s="748">
        <v>43953</v>
      </c>
      <c r="B8" s="713">
        <v>21</v>
      </c>
      <c r="C8" s="713">
        <v>10.79</v>
      </c>
      <c r="D8" s="713">
        <v>3048</v>
      </c>
      <c r="E8" s="713">
        <v>53.65</v>
      </c>
      <c r="F8" s="713">
        <v>83.18</v>
      </c>
      <c r="G8" s="713">
        <v>8318</v>
      </c>
      <c r="H8" s="713">
        <v>246.82</v>
      </c>
      <c r="I8" s="713">
        <v>641368</v>
      </c>
      <c r="J8" s="713">
        <v>641368</v>
      </c>
      <c r="K8" s="713">
        <v>242.99</v>
      </c>
      <c r="L8" s="714">
        <v>652734</v>
      </c>
      <c r="M8" s="714">
        <v>543.46</v>
      </c>
      <c r="N8" s="713">
        <v>10497</v>
      </c>
      <c r="O8" s="713">
        <v>15.64</v>
      </c>
    </row>
    <row r="9" spans="1:15">
      <c r="A9" s="748">
        <v>43985</v>
      </c>
      <c r="B9" s="713">
        <v>22</v>
      </c>
      <c r="C9" s="713">
        <v>1.321</v>
      </c>
      <c r="D9" s="713">
        <v>1321</v>
      </c>
      <c r="E9" s="713">
        <v>16.16</v>
      </c>
      <c r="F9" s="713">
        <v>8.4</v>
      </c>
      <c r="G9" s="713">
        <v>840</v>
      </c>
      <c r="H9" s="713">
        <v>25.6</v>
      </c>
      <c r="I9" s="713">
        <v>153591</v>
      </c>
      <c r="J9" s="713">
        <v>153591</v>
      </c>
      <c r="K9" s="713">
        <v>58.103000000000002</v>
      </c>
      <c r="L9" s="714">
        <v>155752</v>
      </c>
      <c r="M9" s="714">
        <v>99.863</v>
      </c>
      <c r="N9" s="713">
        <v>6912</v>
      </c>
      <c r="O9" s="713">
        <v>7.45</v>
      </c>
    </row>
    <row r="10" spans="1:15">
      <c r="A10" s="748">
        <v>44016</v>
      </c>
      <c r="B10" s="713">
        <v>23</v>
      </c>
      <c r="C10" s="713">
        <v>1.7410000000000001</v>
      </c>
      <c r="D10" s="713">
        <v>1741</v>
      </c>
      <c r="E10" s="713">
        <v>22.481598000000002</v>
      </c>
      <c r="F10" s="713">
        <v>0.74</v>
      </c>
      <c r="G10" s="713">
        <v>74</v>
      </c>
      <c r="H10" s="713">
        <v>2.2319300000000002</v>
      </c>
      <c r="I10" s="713">
        <v>5821</v>
      </c>
      <c r="J10" s="713">
        <v>5821</v>
      </c>
      <c r="K10" s="713">
        <v>2.0950948600000001</v>
      </c>
      <c r="L10" s="714">
        <v>7636</v>
      </c>
      <c r="M10" s="714">
        <v>26.80862286</v>
      </c>
      <c r="N10" s="713">
        <v>3378</v>
      </c>
      <c r="O10" s="713">
        <v>5.12059014</v>
      </c>
    </row>
    <row r="11" spans="1:15">
      <c r="A11" s="748">
        <v>44048</v>
      </c>
      <c r="B11" s="713">
        <v>21</v>
      </c>
      <c r="C11" s="713">
        <v>0.17</v>
      </c>
      <c r="D11" s="713">
        <v>170</v>
      </c>
      <c r="E11" s="713">
        <v>2.2767149999999998</v>
      </c>
      <c r="F11" s="713">
        <v>0</v>
      </c>
      <c r="G11" s="713">
        <v>0</v>
      </c>
      <c r="H11" s="713">
        <v>0</v>
      </c>
      <c r="I11" s="713">
        <v>5</v>
      </c>
      <c r="J11" s="713">
        <v>5</v>
      </c>
      <c r="K11" s="713">
        <v>1.6379999999999999E-3</v>
      </c>
      <c r="L11" s="714">
        <v>175</v>
      </c>
      <c r="M11" s="714">
        <v>2.2783529999999996</v>
      </c>
      <c r="N11" s="713">
        <v>36</v>
      </c>
      <c r="O11" s="713">
        <v>0.48369600000000001</v>
      </c>
    </row>
    <row r="12" spans="1:15">
      <c r="A12" s="748">
        <v>44080</v>
      </c>
      <c r="B12" s="713">
        <v>22</v>
      </c>
      <c r="C12" s="713">
        <v>3.0000000000000001E-3</v>
      </c>
      <c r="D12" s="713">
        <v>3</v>
      </c>
      <c r="E12" s="713">
        <v>4.0599999999999997E-2</v>
      </c>
      <c r="F12" s="713">
        <v>0</v>
      </c>
      <c r="G12" s="713">
        <v>0</v>
      </c>
      <c r="H12" s="713">
        <v>0</v>
      </c>
      <c r="I12" s="713">
        <v>382</v>
      </c>
      <c r="J12" s="713">
        <v>382</v>
      </c>
      <c r="K12" s="713">
        <v>0.1153</v>
      </c>
      <c r="L12" s="714">
        <v>385</v>
      </c>
      <c r="M12" s="714">
        <v>0.156</v>
      </c>
      <c r="N12" s="713">
        <v>176</v>
      </c>
      <c r="O12" s="713">
        <v>0.05</v>
      </c>
    </row>
    <row r="13" spans="1:15">
      <c r="A13" s="748">
        <v>44111</v>
      </c>
      <c r="B13" s="713">
        <v>21</v>
      </c>
      <c r="C13" s="713">
        <v>0</v>
      </c>
      <c r="D13" s="713">
        <v>0</v>
      </c>
      <c r="E13" s="713">
        <v>0</v>
      </c>
      <c r="F13" s="713">
        <v>0</v>
      </c>
      <c r="G13" s="713">
        <v>0</v>
      </c>
      <c r="H13" s="713">
        <v>0</v>
      </c>
      <c r="I13" s="713">
        <v>336</v>
      </c>
      <c r="J13" s="713">
        <v>336</v>
      </c>
      <c r="K13" s="713">
        <v>0.1066</v>
      </c>
      <c r="L13" s="714">
        <v>336</v>
      </c>
      <c r="M13" s="714">
        <v>0.1066</v>
      </c>
      <c r="N13" s="713">
        <v>3</v>
      </c>
      <c r="O13" s="713">
        <v>1.0156950000000001E-3</v>
      </c>
    </row>
    <row r="14" spans="1:15">
      <c r="A14" s="748">
        <v>44143</v>
      </c>
      <c r="B14" s="713">
        <v>22</v>
      </c>
      <c r="C14" s="713">
        <v>0</v>
      </c>
      <c r="D14" s="713">
        <v>0</v>
      </c>
      <c r="E14" s="713">
        <v>0</v>
      </c>
      <c r="F14" s="713">
        <v>0</v>
      </c>
      <c r="G14" s="713">
        <v>0</v>
      </c>
      <c r="H14" s="713">
        <v>0</v>
      </c>
      <c r="I14" s="713">
        <v>90</v>
      </c>
      <c r="J14" s="713">
        <v>90</v>
      </c>
      <c r="K14" s="713">
        <v>2.7824999999999999E-2</v>
      </c>
      <c r="L14" s="714">
        <v>90</v>
      </c>
      <c r="M14" s="714">
        <v>2.7824999999999999E-2</v>
      </c>
      <c r="N14" s="713">
        <v>20</v>
      </c>
      <c r="O14" s="713">
        <v>5.1549999999999999E-3</v>
      </c>
    </row>
    <row r="15" spans="1:15" s="636" customFormat="1">
      <c r="A15" s="708">
        <v>44174</v>
      </c>
      <c r="B15" s="713">
        <v>22</v>
      </c>
      <c r="C15" s="713">
        <v>5.6000000000000001E-2</v>
      </c>
      <c r="D15" s="713">
        <v>56</v>
      </c>
      <c r="E15" s="713">
        <v>0.89</v>
      </c>
      <c r="F15" s="713">
        <v>0.48</v>
      </c>
      <c r="G15" s="713">
        <v>48</v>
      </c>
      <c r="H15" s="713">
        <v>1.8845000000000001</v>
      </c>
      <c r="I15" s="713">
        <v>0</v>
      </c>
      <c r="J15" s="713">
        <v>0</v>
      </c>
      <c r="K15" s="713">
        <v>0</v>
      </c>
      <c r="L15" s="714">
        <v>104</v>
      </c>
      <c r="M15" s="714">
        <v>2.7751999999999999</v>
      </c>
      <c r="N15" s="713">
        <v>5</v>
      </c>
      <c r="O15" s="713">
        <v>0.15</v>
      </c>
    </row>
    <row r="16" spans="1:15" s="636" customFormat="1">
      <c r="A16" s="708">
        <v>44206</v>
      </c>
      <c r="B16" s="713">
        <v>20</v>
      </c>
      <c r="C16" s="713">
        <v>0.182</v>
      </c>
      <c r="D16" s="713">
        <v>182</v>
      </c>
      <c r="E16" s="713">
        <v>2.819</v>
      </c>
      <c r="F16" s="713">
        <v>2.68</v>
      </c>
      <c r="G16" s="713">
        <v>268</v>
      </c>
      <c r="H16" s="713">
        <v>10.340680000000001</v>
      </c>
      <c r="I16" s="713">
        <v>184</v>
      </c>
      <c r="J16" s="713">
        <v>184</v>
      </c>
      <c r="K16" s="713">
        <v>5.169E-2</v>
      </c>
      <c r="L16" s="714">
        <v>634</v>
      </c>
      <c r="M16" s="714">
        <v>13.20266</v>
      </c>
      <c r="N16" s="713">
        <v>34</v>
      </c>
      <c r="O16" s="713">
        <v>0.41</v>
      </c>
    </row>
    <row r="17" spans="1:15" s="636" customFormat="1" ht="13.5" customHeight="1">
      <c r="A17" s="708">
        <v>44228</v>
      </c>
      <c r="B17" s="713">
        <v>20</v>
      </c>
      <c r="C17" s="713">
        <v>0.16300000000000001</v>
      </c>
      <c r="D17" s="713">
        <v>163</v>
      </c>
      <c r="E17" s="713">
        <v>2.5779999999999998</v>
      </c>
      <c r="F17" s="713">
        <v>4.25</v>
      </c>
      <c r="G17" s="713">
        <v>425</v>
      </c>
      <c r="H17" s="713">
        <v>15.99</v>
      </c>
      <c r="I17" s="713">
        <v>147</v>
      </c>
      <c r="J17" s="713">
        <v>147</v>
      </c>
      <c r="K17" s="713">
        <v>3.5916999999999998E-2</v>
      </c>
      <c r="L17" s="714">
        <v>735</v>
      </c>
      <c r="M17" s="714">
        <v>18.607900000000001</v>
      </c>
      <c r="N17" s="713">
        <v>50</v>
      </c>
      <c r="O17" s="713">
        <v>0.39</v>
      </c>
    </row>
    <row r="18" spans="1:15">
      <c r="A18" s="749" t="str">
        <f>'[1]64'!A17</f>
        <v>$ indicates as on February 28, 2021</v>
      </c>
      <c r="B18" s="750"/>
      <c r="C18" s="750"/>
      <c r="D18" s="750"/>
      <c r="E18" s="751"/>
      <c r="F18" s="750"/>
      <c r="G18" s="750"/>
      <c r="H18" s="750"/>
      <c r="I18" s="750"/>
      <c r="J18" s="750"/>
      <c r="K18" s="750"/>
      <c r="L18" s="750"/>
      <c r="M18" s="751"/>
    </row>
    <row r="19" spans="1:15">
      <c r="A19" s="749" t="s">
        <v>916</v>
      </c>
      <c r="B19" s="752"/>
      <c r="I19" s="752"/>
      <c r="J19" s="752"/>
      <c r="K19" s="752"/>
      <c r="L19" s="752"/>
      <c r="M19" s="752"/>
    </row>
    <row r="20" spans="1:15">
      <c r="A20" s="753" t="s">
        <v>917</v>
      </c>
      <c r="G20" s="463" t="s">
        <v>876</v>
      </c>
    </row>
  </sheetData>
  <mergeCells count="8">
    <mergeCell ref="A2:O2"/>
    <mergeCell ref="A3:A4"/>
    <mergeCell ref="B3:B4"/>
    <mergeCell ref="C3:E3"/>
    <mergeCell ref="F3:H3"/>
    <mergeCell ref="I3:K3"/>
    <mergeCell ref="L3:M3"/>
    <mergeCell ref="N3:O3"/>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43"/>
  <sheetViews>
    <sheetView zoomScaleNormal="100" zoomScaleSheetLayoutView="130" workbookViewId="0">
      <selection activeCell="L19" sqref="L19"/>
    </sheetView>
  </sheetViews>
  <sheetFormatPr defaultRowHeight="12.75"/>
  <cols>
    <col min="1" max="2" width="9.140625" style="463"/>
    <col min="3" max="3" width="10.5703125" style="463" bestFit="1" customWidth="1"/>
    <col min="4" max="4" width="9.28515625" style="463" bestFit="1" customWidth="1"/>
    <col min="5" max="5" width="10.5703125" style="463" bestFit="1" customWidth="1"/>
    <col min="6" max="6" width="9.28515625" style="463" bestFit="1" customWidth="1"/>
    <col min="7" max="7" width="10.5703125" style="463" bestFit="1" customWidth="1"/>
    <col min="8" max="8" width="13.7109375" style="463" customWidth="1"/>
    <col min="9" max="9" width="10.42578125" style="463" customWidth="1"/>
    <col min="10" max="15" width="9.140625" style="463"/>
    <col min="16" max="16" width="10.85546875" style="463" bestFit="1" customWidth="1"/>
    <col min="17" max="17" width="11.28515625" style="463" customWidth="1"/>
    <col min="18" max="18" width="9.140625" style="463" customWidth="1"/>
    <col min="19" max="16384" width="9.140625" style="463"/>
  </cols>
  <sheetData>
    <row r="1" spans="1:18" ht="15">
      <c r="A1" s="1484" t="s">
        <v>918</v>
      </c>
      <c r="B1" s="1484"/>
      <c r="C1" s="1484"/>
      <c r="D1" s="1484"/>
      <c r="E1" s="1484"/>
      <c r="F1" s="1484"/>
      <c r="G1" s="1484"/>
      <c r="H1" s="1484"/>
      <c r="I1" s="1484"/>
      <c r="J1" s="1484"/>
      <c r="K1" s="1484"/>
      <c r="L1" s="1484"/>
      <c r="M1" s="1484"/>
      <c r="N1" s="1484"/>
      <c r="O1" s="1484"/>
      <c r="P1" s="1484"/>
      <c r="Q1" s="1484"/>
      <c r="R1" s="1484"/>
    </row>
    <row r="2" spans="1:18" ht="15.75">
      <c r="A2" s="1453" t="s">
        <v>862</v>
      </c>
      <c r="B2" s="1453"/>
      <c r="C2" s="1453"/>
      <c r="D2" s="1453"/>
      <c r="E2" s="1453"/>
      <c r="F2" s="1453"/>
      <c r="G2" s="1453"/>
      <c r="H2" s="1453"/>
      <c r="I2" s="1453"/>
      <c r="J2" s="1453"/>
      <c r="K2" s="1453"/>
      <c r="L2" s="1453"/>
      <c r="M2" s="1453"/>
      <c r="N2" s="1453"/>
      <c r="O2" s="1453"/>
      <c r="P2" s="1453"/>
      <c r="Q2" s="1453"/>
      <c r="R2" s="1453"/>
    </row>
    <row r="3" spans="1:18" ht="30" customHeight="1">
      <c r="A3" s="1450" t="s">
        <v>779</v>
      </c>
      <c r="B3" s="1450" t="s">
        <v>886</v>
      </c>
      <c r="C3" s="1450" t="s">
        <v>919</v>
      </c>
      <c r="D3" s="1450"/>
      <c r="E3" s="1450"/>
      <c r="F3" s="1458" t="s">
        <v>866</v>
      </c>
      <c r="G3" s="1459"/>
      <c r="H3" s="1460"/>
      <c r="I3" s="1458" t="s">
        <v>867</v>
      </c>
      <c r="J3" s="1459"/>
      <c r="K3" s="1460"/>
      <c r="L3" s="1458" t="s">
        <v>864</v>
      </c>
      <c r="M3" s="1459"/>
      <c r="N3" s="1460"/>
      <c r="O3" s="1458" t="s">
        <v>53</v>
      </c>
      <c r="P3" s="1460"/>
      <c r="Q3" s="1450" t="s">
        <v>892</v>
      </c>
      <c r="R3" s="1450"/>
    </row>
    <row r="4" spans="1:18" ht="38.25">
      <c r="A4" s="1450"/>
      <c r="B4" s="1450"/>
      <c r="C4" s="987" t="s">
        <v>920</v>
      </c>
      <c r="D4" s="987" t="s">
        <v>894</v>
      </c>
      <c r="E4" s="987" t="s">
        <v>1101</v>
      </c>
      <c r="F4" s="987" t="s">
        <v>920</v>
      </c>
      <c r="G4" s="987" t="s">
        <v>894</v>
      </c>
      <c r="H4" s="987" t="s">
        <v>1101</v>
      </c>
      <c r="I4" s="987" t="s">
        <v>920</v>
      </c>
      <c r="J4" s="987" t="s">
        <v>894</v>
      </c>
      <c r="K4" s="987" t="s">
        <v>1101</v>
      </c>
      <c r="L4" s="987" t="s">
        <v>920</v>
      </c>
      <c r="M4" s="987" t="s">
        <v>894</v>
      </c>
      <c r="N4" s="987" t="s">
        <v>1101</v>
      </c>
      <c r="O4" s="987" t="s">
        <v>894</v>
      </c>
      <c r="P4" s="987" t="s">
        <v>1101</v>
      </c>
      <c r="Q4" s="987" t="s">
        <v>1187</v>
      </c>
      <c r="R4" s="987" t="s">
        <v>1097</v>
      </c>
    </row>
    <row r="5" spans="1:18">
      <c r="A5" s="733" t="s">
        <v>58</v>
      </c>
      <c r="B5" s="718">
        <v>259</v>
      </c>
      <c r="C5" s="718">
        <v>0.874</v>
      </c>
      <c r="D5" s="718">
        <v>874</v>
      </c>
      <c r="E5" s="718">
        <v>39.275199999999998</v>
      </c>
      <c r="F5" s="718">
        <v>0.49412000000000017</v>
      </c>
      <c r="G5" s="718">
        <v>41682</v>
      </c>
      <c r="H5" s="718">
        <v>8836.5611850000005</v>
      </c>
      <c r="I5" s="718">
        <v>422.85129336971352</v>
      </c>
      <c r="J5" s="718">
        <v>30995</v>
      </c>
      <c r="K5" s="718">
        <v>1246.95</v>
      </c>
      <c r="L5" s="707">
        <v>6825.5123999999996</v>
      </c>
      <c r="M5" s="707">
        <v>834466</v>
      </c>
      <c r="N5" s="718">
        <v>36315.928845000002</v>
      </c>
      <c r="O5" s="718">
        <v>908017</v>
      </c>
      <c r="P5" s="718">
        <v>46438.715230000002</v>
      </c>
      <c r="Q5" s="718">
        <v>1</v>
      </c>
      <c r="R5" s="718">
        <v>0.03</v>
      </c>
    </row>
    <row r="6" spans="1:18">
      <c r="A6" s="733" t="s">
        <v>61</v>
      </c>
      <c r="B6" s="718">
        <f>SUM(B7:B17)</f>
        <v>231</v>
      </c>
      <c r="C6" s="718">
        <f t="shared" ref="C6:N6" si="0">SUM(C7:C17)</f>
        <v>0</v>
      </c>
      <c r="D6" s="718">
        <f t="shared" si="0"/>
        <v>0</v>
      </c>
      <c r="E6" s="718">
        <f t="shared" si="0"/>
        <v>0</v>
      </c>
      <c r="F6" s="718">
        <f t="shared" si="0"/>
        <v>7.4890000000000004E-4</v>
      </c>
      <c r="G6" s="718">
        <f t="shared" si="0"/>
        <v>1275</v>
      </c>
      <c r="H6" s="718">
        <f t="shared" si="0"/>
        <v>75.64</v>
      </c>
      <c r="I6" s="718">
        <f t="shared" si="0"/>
        <v>0.35470668499999997</v>
      </c>
      <c r="J6" s="718">
        <f t="shared" si="0"/>
        <v>26</v>
      </c>
      <c r="K6" s="718">
        <f t="shared" si="0"/>
        <v>0.57201000000000002</v>
      </c>
      <c r="L6" s="718">
        <f t="shared" si="0"/>
        <v>847.00675000000012</v>
      </c>
      <c r="M6" s="718">
        <f t="shared" si="0"/>
        <v>118128</v>
      </c>
      <c r="N6" s="718">
        <f t="shared" si="0"/>
        <v>4755.4731300000003</v>
      </c>
      <c r="O6" s="718">
        <f>SUM(O7:O17)</f>
        <v>119429</v>
      </c>
      <c r="P6" s="718">
        <f t="shared" ref="P6" si="1">SUM(P7:P17)</f>
        <v>4831.6851400000005</v>
      </c>
      <c r="Q6" s="718">
        <f>Q17</f>
        <v>26</v>
      </c>
      <c r="R6" s="718">
        <f>R17</f>
        <v>0.99</v>
      </c>
    </row>
    <row r="7" spans="1:18">
      <c r="A7" s="748">
        <v>43922</v>
      </c>
      <c r="B7" s="709">
        <v>18</v>
      </c>
      <c r="C7" s="709">
        <v>0</v>
      </c>
      <c r="D7" s="709">
        <v>0</v>
      </c>
      <c r="E7" s="709">
        <v>0</v>
      </c>
      <c r="F7" s="709">
        <v>0</v>
      </c>
      <c r="G7" s="709">
        <v>0</v>
      </c>
      <c r="H7" s="709">
        <v>0</v>
      </c>
      <c r="I7" s="709">
        <v>0</v>
      </c>
      <c r="J7" s="709">
        <v>0</v>
      </c>
      <c r="K7" s="709">
        <v>0</v>
      </c>
      <c r="L7" s="713">
        <v>200.38050000000001</v>
      </c>
      <c r="M7" s="713">
        <v>25734</v>
      </c>
      <c r="N7" s="709">
        <v>1001.73313</v>
      </c>
      <c r="O7" s="709">
        <v>25734</v>
      </c>
      <c r="P7" s="709">
        <v>1001.73313</v>
      </c>
      <c r="Q7" s="709">
        <v>0</v>
      </c>
      <c r="R7" s="709">
        <v>0</v>
      </c>
    </row>
    <row r="8" spans="1:18">
      <c r="A8" s="748">
        <v>43953</v>
      </c>
      <c r="B8" s="709">
        <v>20</v>
      </c>
      <c r="C8" s="709">
        <v>0</v>
      </c>
      <c r="D8" s="709">
        <v>0</v>
      </c>
      <c r="E8" s="709">
        <v>0</v>
      </c>
      <c r="F8" s="709">
        <v>0</v>
      </c>
      <c r="G8" s="709">
        <v>0</v>
      </c>
      <c r="H8" s="709">
        <v>0</v>
      </c>
      <c r="I8" s="709">
        <v>0.35470668499999997</v>
      </c>
      <c r="J8" s="709">
        <v>26</v>
      </c>
      <c r="K8" s="709">
        <v>0.57201000000000002</v>
      </c>
      <c r="L8" s="713">
        <v>165.684</v>
      </c>
      <c r="M8" s="713">
        <v>21380</v>
      </c>
      <c r="N8" s="709">
        <v>847.49</v>
      </c>
      <c r="O8" s="709">
        <v>21406</v>
      </c>
      <c r="P8" s="709">
        <v>848.06200999999999</v>
      </c>
      <c r="Q8" s="709">
        <v>50</v>
      </c>
      <c r="R8" s="709">
        <v>2.64</v>
      </c>
    </row>
    <row r="9" spans="1:18">
      <c r="A9" s="748">
        <v>43985</v>
      </c>
      <c r="B9" s="709">
        <v>22</v>
      </c>
      <c r="C9" s="709">
        <v>0</v>
      </c>
      <c r="D9" s="709">
        <v>0</v>
      </c>
      <c r="E9" s="709">
        <v>0</v>
      </c>
      <c r="F9" s="713">
        <v>6.3370000000000006E-4</v>
      </c>
      <c r="G9" s="713">
        <v>123</v>
      </c>
      <c r="H9" s="713">
        <v>18.64</v>
      </c>
      <c r="I9" s="713">
        <v>0</v>
      </c>
      <c r="J9" s="709">
        <v>0</v>
      </c>
      <c r="K9" s="709">
        <v>0</v>
      </c>
      <c r="L9" s="713">
        <v>314.88175000000001</v>
      </c>
      <c r="M9" s="713">
        <v>39937</v>
      </c>
      <c r="N9" s="709">
        <v>1565.29</v>
      </c>
      <c r="O9" s="709">
        <v>40060</v>
      </c>
      <c r="P9" s="709">
        <v>1583.93</v>
      </c>
      <c r="Q9" s="709">
        <v>86</v>
      </c>
      <c r="R9" s="709">
        <v>4.5199999999999996</v>
      </c>
    </row>
    <row r="10" spans="1:18" s="636" customFormat="1">
      <c r="A10" s="708">
        <v>44016</v>
      </c>
      <c r="B10" s="713">
        <v>23</v>
      </c>
      <c r="C10" s="713">
        <v>0</v>
      </c>
      <c r="D10" s="713">
        <v>0</v>
      </c>
      <c r="E10" s="713">
        <v>0</v>
      </c>
      <c r="F10" s="713">
        <v>0</v>
      </c>
      <c r="G10" s="713">
        <v>0</v>
      </c>
      <c r="H10" s="713">
        <v>0</v>
      </c>
      <c r="I10" s="713">
        <v>0</v>
      </c>
      <c r="J10" s="713">
        <v>0</v>
      </c>
      <c r="K10" s="713">
        <v>0</v>
      </c>
      <c r="L10" s="713">
        <v>46.964500000000001</v>
      </c>
      <c r="M10" s="713">
        <v>7891</v>
      </c>
      <c r="N10" s="713">
        <v>323.74</v>
      </c>
      <c r="O10" s="713">
        <v>7891</v>
      </c>
      <c r="P10" s="713">
        <v>323.74</v>
      </c>
      <c r="Q10" s="713">
        <v>83</v>
      </c>
      <c r="R10" s="713">
        <v>4.12</v>
      </c>
    </row>
    <row r="11" spans="1:18">
      <c r="A11" s="754">
        <v>44044</v>
      </c>
      <c r="B11" s="713">
        <v>21</v>
      </c>
      <c r="C11" s="713">
        <v>0</v>
      </c>
      <c r="D11" s="713">
        <v>0</v>
      </c>
      <c r="E11" s="713">
        <v>0</v>
      </c>
      <c r="F11" s="713">
        <v>0</v>
      </c>
      <c r="G11" s="713">
        <v>0</v>
      </c>
      <c r="H11" s="713">
        <v>0</v>
      </c>
      <c r="I11" s="713">
        <v>0</v>
      </c>
      <c r="J11" s="713">
        <v>0</v>
      </c>
      <c r="K11" s="713">
        <v>0</v>
      </c>
      <c r="L11" s="713">
        <v>19.513000000000002</v>
      </c>
      <c r="M11" s="713">
        <v>3574</v>
      </c>
      <c r="N11" s="755">
        <v>153.78</v>
      </c>
      <c r="O11" s="713">
        <v>3574</v>
      </c>
      <c r="P11" s="713">
        <v>153.78</v>
      </c>
      <c r="Q11" s="713">
        <v>67</v>
      </c>
      <c r="R11" s="713">
        <v>4.08</v>
      </c>
    </row>
    <row r="12" spans="1:18">
      <c r="A12" s="754">
        <v>44075</v>
      </c>
      <c r="B12" s="713">
        <v>22</v>
      </c>
      <c r="C12" s="713">
        <v>0</v>
      </c>
      <c r="D12" s="713">
        <v>0</v>
      </c>
      <c r="E12" s="713">
        <v>0</v>
      </c>
      <c r="F12" s="713">
        <v>1.0000000000000001E-5</v>
      </c>
      <c r="G12" s="713">
        <v>80</v>
      </c>
      <c r="H12" s="713">
        <v>4.01</v>
      </c>
      <c r="I12" s="713">
        <v>0</v>
      </c>
      <c r="J12" s="713">
        <v>0</v>
      </c>
      <c r="K12" s="713">
        <v>0</v>
      </c>
      <c r="L12" s="713">
        <v>21.349</v>
      </c>
      <c r="M12" s="713">
        <v>4042</v>
      </c>
      <c r="N12" s="755">
        <v>181.2</v>
      </c>
      <c r="O12" s="713">
        <v>4122</v>
      </c>
      <c r="P12" s="713">
        <v>185.20999999999998</v>
      </c>
      <c r="Q12" s="713">
        <v>67</v>
      </c>
      <c r="R12" s="713">
        <v>3.86</v>
      </c>
    </row>
    <row r="13" spans="1:18">
      <c r="A13" s="754">
        <v>44105</v>
      </c>
      <c r="B13" s="713">
        <v>21</v>
      </c>
      <c r="C13" s="713">
        <v>0</v>
      </c>
      <c r="D13" s="713">
        <v>0</v>
      </c>
      <c r="E13" s="713">
        <v>0</v>
      </c>
      <c r="F13" s="713">
        <v>2.0000000000000002E-5</v>
      </c>
      <c r="G13" s="713">
        <v>220</v>
      </c>
      <c r="H13" s="713">
        <v>11.15</v>
      </c>
      <c r="I13" s="713">
        <v>0</v>
      </c>
      <c r="J13" s="713">
        <v>0</v>
      </c>
      <c r="K13" s="713">
        <v>0</v>
      </c>
      <c r="L13" s="713">
        <v>30.783000000000001</v>
      </c>
      <c r="M13" s="713">
        <v>5007</v>
      </c>
      <c r="N13" s="755">
        <v>236.58</v>
      </c>
      <c r="O13" s="713">
        <v>5227</v>
      </c>
      <c r="P13" s="713">
        <v>247.73000000000002</v>
      </c>
      <c r="Q13" s="713">
        <v>83</v>
      </c>
      <c r="R13" s="713">
        <v>4.55</v>
      </c>
    </row>
    <row r="14" spans="1:18">
      <c r="A14" s="754">
        <v>44136</v>
      </c>
      <c r="B14" s="713">
        <v>22</v>
      </c>
      <c r="C14" s="713">
        <v>0</v>
      </c>
      <c r="D14" s="713">
        <v>0</v>
      </c>
      <c r="E14" s="713">
        <v>0</v>
      </c>
      <c r="F14" s="713">
        <v>2.1000000000000002E-5</v>
      </c>
      <c r="G14" s="713">
        <v>210</v>
      </c>
      <c r="H14" s="713">
        <v>10.53</v>
      </c>
      <c r="I14" s="713">
        <v>0</v>
      </c>
      <c r="J14" s="713">
        <v>0</v>
      </c>
      <c r="K14" s="713">
        <v>0</v>
      </c>
      <c r="L14" s="713">
        <v>19.670000000000002</v>
      </c>
      <c r="M14" s="713">
        <v>4031</v>
      </c>
      <c r="N14" s="755">
        <v>165.86</v>
      </c>
      <c r="O14" s="713">
        <v>4241</v>
      </c>
      <c r="P14" s="713">
        <v>176.39000000000001</v>
      </c>
      <c r="Q14" s="713">
        <v>91</v>
      </c>
      <c r="R14" s="713">
        <v>5.03</v>
      </c>
    </row>
    <row r="15" spans="1:18" s="636" customFormat="1">
      <c r="A15" s="756">
        <v>44166</v>
      </c>
      <c r="B15" s="757">
        <v>22</v>
      </c>
      <c r="C15" s="757">
        <v>0</v>
      </c>
      <c r="D15" s="757">
        <v>0</v>
      </c>
      <c r="E15" s="713">
        <v>0</v>
      </c>
      <c r="F15" s="713">
        <v>2.3E-5</v>
      </c>
      <c r="G15" s="757">
        <v>230</v>
      </c>
      <c r="H15" s="713">
        <v>11.42</v>
      </c>
      <c r="I15" s="757">
        <v>0</v>
      </c>
      <c r="J15" s="757">
        <v>0</v>
      </c>
      <c r="K15" s="713">
        <v>0</v>
      </c>
      <c r="L15" s="713">
        <v>11.32</v>
      </c>
      <c r="M15" s="757">
        <v>2797</v>
      </c>
      <c r="N15" s="755">
        <v>110.01</v>
      </c>
      <c r="O15" s="757">
        <v>3027</v>
      </c>
      <c r="P15" s="713">
        <v>121.43</v>
      </c>
      <c r="Q15" s="757">
        <v>9</v>
      </c>
      <c r="R15" s="757">
        <v>0.28999999999999998</v>
      </c>
    </row>
    <row r="16" spans="1:18" s="636" customFormat="1">
      <c r="A16" s="756">
        <v>44197</v>
      </c>
      <c r="B16" s="757">
        <v>20</v>
      </c>
      <c r="C16" s="757">
        <v>0</v>
      </c>
      <c r="D16" s="757">
        <v>0</v>
      </c>
      <c r="E16" s="713">
        <v>0</v>
      </c>
      <c r="F16" s="713">
        <v>2.02E-5</v>
      </c>
      <c r="G16" s="757">
        <v>202</v>
      </c>
      <c r="H16" s="713">
        <v>10.02</v>
      </c>
      <c r="I16" s="757">
        <v>0</v>
      </c>
      <c r="J16" s="757">
        <v>0</v>
      </c>
      <c r="K16" s="713">
        <v>0</v>
      </c>
      <c r="L16" s="713">
        <v>7.8150000000000004</v>
      </c>
      <c r="M16" s="757">
        <v>2118</v>
      </c>
      <c r="N16" s="758">
        <v>86.66</v>
      </c>
      <c r="O16" s="757">
        <v>2320</v>
      </c>
      <c r="P16" s="713">
        <v>96.679999999999993</v>
      </c>
      <c r="Q16" s="757">
        <v>23</v>
      </c>
      <c r="R16" s="757">
        <v>0.71</v>
      </c>
    </row>
    <row r="17" spans="1:18" s="636" customFormat="1">
      <c r="A17" s="756">
        <v>44228</v>
      </c>
      <c r="B17" s="757">
        <v>20</v>
      </c>
      <c r="C17" s="757">
        <v>0</v>
      </c>
      <c r="D17" s="757">
        <v>0</v>
      </c>
      <c r="E17" s="713">
        <v>0</v>
      </c>
      <c r="F17" s="713">
        <v>2.1000000000000002E-5</v>
      </c>
      <c r="G17" s="757">
        <v>210</v>
      </c>
      <c r="H17" s="713">
        <v>9.8699999999999992</v>
      </c>
      <c r="I17" s="757">
        <v>0</v>
      </c>
      <c r="J17" s="757">
        <v>0</v>
      </c>
      <c r="K17" s="713">
        <v>0</v>
      </c>
      <c r="L17" s="713">
        <v>8.6460000000000008</v>
      </c>
      <c r="M17" s="757">
        <v>1617</v>
      </c>
      <c r="N17" s="1020">
        <v>83.13</v>
      </c>
      <c r="O17" s="757">
        <v>1827</v>
      </c>
      <c r="P17" s="713">
        <v>93</v>
      </c>
      <c r="Q17" s="757">
        <v>26</v>
      </c>
      <c r="R17" s="757">
        <v>0.99</v>
      </c>
    </row>
    <row r="18" spans="1:18">
      <c r="A18" s="741"/>
      <c r="B18" s="741"/>
      <c r="C18" s="741"/>
      <c r="D18" s="741"/>
      <c r="E18" s="741"/>
      <c r="F18" s="741"/>
      <c r="G18" s="741"/>
      <c r="H18" s="1021"/>
      <c r="I18" s="741"/>
      <c r="J18" s="741"/>
      <c r="K18" s="741"/>
      <c r="L18" s="741"/>
      <c r="M18" s="741"/>
      <c r="N18" s="759"/>
      <c r="O18" s="741"/>
      <c r="P18" s="759"/>
      <c r="Q18" s="741"/>
      <c r="R18" s="741"/>
    </row>
    <row r="19" spans="1:18" ht="25.15" customHeight="1">
      <c r="A19" s="1487" t="s">
        <v>863</v>
      </c>
      <c r="B19" s="1487"/>
      <c r="C19" s="1487"/>
      <c r="D19" s="1487"/>
      <c r="E19" s="1487"/>
      <c r="F19" s="1487"/>
      <c r="G19" s="1487"/>
      <c r="H19" s="1487"/>
      <c r="I19" s="1487"/>
      <c r="J19" s="1487"/>
      <c r="K19" s="760"/>
      <c r="L19" s="760"/>
      <c r="M19" s="760"/>
      <c r="N19" s="761"/>
      <c r="O19" s="760"/>
      <c r="P19" s="761"/>
      <c r="Q19" s="760"/>
      <c r="R19" s="760"/>
    </row>
    <row r="20" spans="1:18" ht="12.75" customHeight="1">
      <c r="A20" s="1464" t="s">
        <v>897</v>
      </c>
      <c r="B20" s="1464" t="s">
        <v>886</v>
      </c>
      <c r="C20" s="1465" t="s">
        <v>888</v>
      </c>
      <c r="D20" s="1465"/>
      <c r="E20" s="1465"/>
      <c r="F20" s="1465"/>
      <c r="G20" s="1465" t="s">
        <v>53</v>
      </c>
      <c r="H20" s="1466"/>
      <c r="I20" s="1465" t="s">
        <v>892</v>
      </c>
      <c r="J20" s="1465"/>
      <c r="K20" s="760"/>
      <c r="L20" s="760"/>
      <c r="M20" s="760" t="s">
        <v>876</v>
      </c>
      <c r="N20" s="760"/>
      <c r="O20" s="760"/>
      <c r="P20" s="761"/>
      <c r="Q20" s="760"/>
      <c r="R20" s="760"/>
    </row>
    <row r="21" spans="1:18" ht="37.5" customHeight="1">
      <c r="A21" s="1464"/>
      <c r="B21" s="1464"/>
      <c r="C21" s="1468" t="s">
        <v>898</v>
      </c>
      <c r="D21" s="1468"/>
      <c r="E21" s="1468" t="s">
        <v>899</v>
      </c>
      <c r="F21" s="1468"/>
      <c r="G21" s="1446" t="s">
        <v>894</v>
      </c>
      <c r="H21" s="1455" t="s">
        <v>1098</v>
      </c>
      <c r="I21" s="1448" t="s">
        <v>1187</v>
      </c>
      <c r="J21" s="1464" t="s">
        <v>1099</v>
      </c>
      <c r="K21" s="760"/>
      <c r="L21" s="760" t="s">
        <v>876</v>
      </c>
      <c r="M21" s="760"/>
      <c r="N21" s="760"/>
      <c r="O21" s="760"/>
      <c r="P21" s="760"/>
      <c r="Q21" s="760"/>
      <c r="R21" s="760"/>
    </row>
    <row r="22" spans="1:18" ht="38.25">
      <c r="A22" s="1464"/>
      <c r="B22" s="1464"/>
      <c r="C22" s="986" t="s">
        <v>894</v>
      </c>
      <c r="D22" s="704" t="s">
        <v>1096</v>
      </c>
      <c r="E22" s="986" t="s">
        <v>894</v>
      </c>
      <c r="F22" s="704" t="s">
        <v>1096</v>
      </c>
      <c r="G22" s="1447"/>
      <c r="H22" s="1485"/>
      <c r="I22" s="1449"/>
      <c r="J22" s="1464"/>
      <c r="K22" s="760"/>
      <c r="L22" s="760"/>
      <c r="M22" s="760"/>
      <c r="N22" s="760"/>
      <c r="O22" s="760"/>
      <c r="P22" s="760"/>
      <c r="Q22" s="760"/>
      <c r="R22" s="760"/>
    </row>
    <row r="23" spans="1:18">
      <c r="A23" s="762" t="s">
        <v>61</v>
      </c>
      <c r="B23" s="763">
        <f>SUM(B24:B32)</f>
        <v>193</v>
      </c>
      <c r="C23" s="763">
        <f t="shared" ref="C23:H23" si="2">SUM(C24:C32)</f>
        <v>5328717</v>
      </c>
      <c r="D23" s="763">
        <f t="shared" si="2"/>
        <v>298760.02999999997</v>
      </c>
      <c r="E23" s="763">
        <f t="shared" si="2"/>
        <v>4431223</v>
      </c>
      <c r="F23" s="763">
        <f t="shared" si="2"/>
        <v>234722.83</v>
      </c>
      <c r="G23" s="763">
        <f t="shared" si="2"/>
        <v>9759940</v>
      </c>
      <c r="H23" s="763">
        <f t="shared" si="2"/>
        <v>533482.86</v>
      </c>
      <c r="I23" s="763">
        <f>I32</f>
        <v>45</v>
      </c>
      <c r="J23" s="763">
        <f>J32</f>
        <v>0.304421</v>
      </c>
      <c r="K23" s="760"/>
      <c r="L23" s="764"/>
      <c r="M23" s="761"/>
      <c r="N23" s="760"/>
      <c r="O23" s="760"/>
      <c r="P23" s="760"/>
      <c r="Q23" s="760"/>
      <c r="R23" s="760"/>
    </row>
    <row r="24" spans="1:18">
      <c r="A24" s="754">
        <v>43983</v>
      </c>
      <c r="B24" s="765">
        <v>22</v>
      </c>
      <c r="C24" s="766">
        <v>298958</v>
      </c>
      <c r="D24" s="766">
        <v>13332.21</v>
      </c>
      <c r="E24" s="766">
        <v>294684</v>
      </c>
      <c r="F24" s="766">
        <v>13484.56</v>
      </c>
      <c r="G24" s="766">
        <v>593642</v>
      </c>
      <c r="H24" s="766">
        <v>26816.769999999997</v>
      </c>
      <c r="I24" s="767">
        <v>389</v>
      </c>
      <c r="J24" s="767">
        <v>0.11</v>
      </c>
      <c r="K24" s="760"/>
      <c r="L24" s="760"/>
      <c r="M24" s="760"/>
      <c r="N24" s="760"/>
      <c r="O24" s="760"/>
      <c r="P24" s="760"/>
      <c r="Q24" s="760"/>
      <c r="R24" s="760"/>
    </row>
    <row r="25" spans="1:18">
      <c r="A25" s="754">
        <v>44013</v>
      </c>
      <c r="B25" s="765">
        <v>23</v>
      </c>
      <c r="C25" s="766">
        <v>267903</v>
      </c>
      <c r="D25" s="766">
        <v>13424.07</v>
      </c>
      <c r="E25" s="766">
        <v>1238158</v>
      </c>
      <c r="F25" s="766">
        <v>58818.92</v>
      </c>
      <c r="G25" s="766">
        <v>1506061</v>
      </c>
      <c r="H25" s="766">
        <v>72242.989999999991</v>
      </c>
      <c r="I25" s="767">
        <v>376</v>
      </c>
      <c r="J25" s="767">
        <v>0.38</v>
      </c>
      <c r="K25" s="760"/>
      <c r="L25" s="760"/>
      <c r="M25" s="760"/>
      <c r="N25" s="760"/>
      <c r="O25" s="760"/>
      <c r="P25" s="760"/>
      <c r="Q25" s="760"/>
      <c r="R25" s="760"/>
    </row>
    <row r="26" spans="1:18">
      <c r="A26" s="754">
        <v>44044</v>
      </c>
      <c r="B26" s="765">
        <v>21</v>
      </c>
      <c r="C26" s="766">
        <v>344179</v>
      </c>
      <c r="D26" s="766">
        <v>20187.25</v>
      </c>
      <c r="E26" s="766">
        <v>1036730</v>
      </c>
      <c r="F26" s="766">
        <v>51483.6</v>
      </c>
      <c r="G26" s="766">
        <v>1380909</v>
      </c>
      <c r="H26" s="766">
        <v>71670.850000000006</v>
      </c>
      <c r="I26" s="767">
        <v>329</v>
      </c>
      <c r="J26" s="767">
        <v>0.17</v>
      </c>
      <c r="K26" s="764"/>
      <c r="L26" s="764"/>
      <c r="M26" s="761"/>
      <c r="N26" s="760"/>
      <c r="O26" s="760"/>
      <c r="P26" s="760"/>
      <c r="Q26" s="760"/>
      <c r="R26" s="760"/>
    </row>
    <row r="27" spans="1:18">
      <c r="A27" s="754">
        <v>44075</v>
      </c>
      <c r="B27" s="765">
        <v>22</v>
      </c>
      <c r="C27" s="766">
        <v>377475</v>
      </c>
      <c r="D27" s="766">
        <v>29792.17</v>
      </c>
      <c r="E27" s="766">
        <v>354405</v>
      </c>
      <c r="F27" s="766">
        <v>28539.24</v>
      </c>
      <c r="G27" s="766">
        <v>731880</v>
      </c>
      <c r="H27" s="766">
        <v>58331.41</v>
      </c>
      <c r="I27" s="767">
        <v>38</v>
      </c>
      <c r="J27" s="767">
        <v>0.09</v>
      </c>
      <c r="K27" s="764"/>
      <c r="L27" s="764"/>
      <c r="M27" s="761"/>
      <c r="N27" s="761"/>
      <c r="O27" s="760"/>
      <c r="P27" s="760"/>
      <c r="Q27" s="760"/>
      <c r="R27" s="760"/>
    </row>
    <row r="28" spans="1:18">
      <c r="A28" s="754">
        <v>44105</v>
      </c>
      <c r="B28" s="765">
        <v>21</v>
      </c>
      <c r="C28" s="766">
        <v>378630</v>
      </c>
      <c r="D28" s="766">
        <v>26409.599999999999</v>
      </c>
      <c r="E28" s="766">
        <v>523275</v>
      </c>
      <c r="F28" s="766">
        <v>29727.8</v>
      </c>
      <c r="G28" s="766">
        <v>901905</v>
      </c>
      <c r="H28" s="766">
        <v>56137.399999999994</v>
      </c>
      <c r="I28" s="767">
        <v>180</v>
      </c>
      <c r="J28" s="767">
        <v>0.54</v>
      </c>
      <c r="K28" s="760"/>
      <c r="L28" s="760"/>
      <c r="M28" s="768"/>
      <c r="N28" s="760"/>
      <c r="O28" s="760"/>
      <c r="P28" s="760"/>
      <c r="Q28" s="760"/>
      <c r="R28" s="760"/>
    </row>
    <row r="29" spans="1:18">
      <c r="A29" s="754">
        <v>44136</v>
      </c>
      <c r="B29" s="765">
        <v>22</v>
      </c>
      <c r="C29" s="766">
        <v>636338</v>
      </c>
      <c r="D29" s="766">
        <v>36607.56</v>
      </c>
      <c r="E29" s="766">
        <v>292615</v>
      </c>
      <c r="F29" s="766">
        <v>17346.650000000001</v>
      </c>
      <c r="G29" s="766">
        <v>928953</v>
      </c>
      <c r="H29" s="766">
        <v>53954.21</v>
      </c>
      <c r="I29" s="767">
        <v>43</v>
      </c>
      <c r="J29" s="769">
        <v>0.01</v>
      </c>
      <c r="K29" s="770"/>
      <c r="L29" s="760"/>
      <c r="M29" s="768"/>
      <c r="N29" s="760"/>
      <c r="O29" s="760"/>
      <c r="P29" s="760"/>
      <c r="Q29" s="760"/>
      <c r="R29" s="760"/>
    </row>
    <row r="30" spans="1:18" s="636" customFormat="1">
      <c r="A30" s="756">
        <v>44166</v>
      </c>
      <c r="B30" s="771">
        <v>22</v>
      </c>
      <c r="C30" s="772">
        <v>894476</v>
      </c>
      <c r="D30" s="772">
        <v>48263.06</v>
      </c>
      <c r="E30" s="772">
        <v>354252</v>
      </c>
      <c r="F30" s="772">
        <v>18537.98</v>
      </c>
      <c r="G30" s="772">
        <v>1248728</v>
      </c>
      <c r="H30" s="772">
        <v>66801.039999999994</v>
      </c>
      <c r="I30" s="769">
        <v>10</v>
      </c>
      <c r="J30" s="769">
        <v>6.9604999999999997E-3</v>
      </c>
      <c r="K30" s="773"/>
      <c r="L30" s="774"/>
      <c r="M30" s="774"/>
      <c r="N30" s="775"/>
      <c r="O30" s="775"/>
      <c r="P30" s="775"/>
      <c r="Q30" s="775"/>
      <c r="R30" s="775"/>
    </row>
    <row r="31" spans="1:18" s="636" customFormat="1">
      <c r="A31" s="756">
        <v>44197</v>
      </c>
      <c r="B31" s="771">
        <v>20</v>
      </c>
      <c r="C31" s="772">
        <v>903482</v>
      </c>
      <c r="D31" s="772">
        <v>46748.17</v>
      </c>
      <c r="E31" s="772">
        <v>324794</v>
      </c>
      <c r="F31" s="772">
        <v>15692.76</v>
      </c>
      <c r="G31" s="772">
        <v>1228276</v>
      </c>
      <c r="H31" s="1022">
        <v>62440.93</v>
      </c>
      <c r="I31" s="769">
        <v>11</v>
      </c>
      <c r="J31" s="769">
        <v>7.6509999999999998E-3</v>
      </c>
      <c r="K31" s="773"/>
      <c r="L31" s="776"/>
      <c r="M31" s="774"/>
      <c r="N31" s="775"/>
      <c r="O31" s="775"/>
      <c r="P31" s="775"/>
      <c r="Q31" s="775"/>
      <c r="R31" s="775"/>
    </row>
    <row r="32" spans="1:18" s="636" customFormat="1">
      <c r="A32" s="756">
        <v>44228</v>
      </c>
      <c r="B32" s="771">
        <v>20</v>
      </c>
      <c r="C32" s="772">
        <v>1227276</v>
      </c>
      <c r="D32" s="772">
        <v>63995.94</v>
      </c>
      <c r="E32" s="772">
        <v>12310</v>
      </c>
      <c r="F32" s="772">
        <v>1091.32</v>
      </c>
      <c r="G32" s="772">
        <v>1239586</v>
      </c>
      <c r="H32" s="1022">
        <v>65087.26</v>
      </c>
      <c r="I32" s="769">
        <v>45</v>
      </c>
      <c r="J32" s="769">
        <v>0.304421</v>
      </c>
      <c r="K32" s="773"/>
      <c r="L32" s="776"/>
      <c r="M32" s="774"/>
      <c r="N32" s="775"/>
      <c r="O32" s="775"/>
      <c r="P32" s="775"/>
      <c r="Q32" s="775"/>
      <c r="R32" s="775"/>
    </row>
    <row r="33" spans="1:18">
      <c r="A33" s="701" t="str">
        <f>'[1]1'!A8</f>
        <v>$ indicates as on February 28, 2021</v>
      </c>
      <c r="B33" s="717"/>
      <c r="C33" s="717"/>
      <c r="D33" s="717"/>
      <c r="E33" s="717"/>
      <c r="F33" s="717"/>
      <c r="G33" s="717"/>
      <c r="H33" s="761"/>
      <c r="I33" s="726"/>
      <c r="J33" s="726"/>
      <c r="K33" s="726"/>
      <c r="L33" s="777"/>
      <c r="M33" s="726"/>
      <c r="N33" s="726"/>
      <c r="O33" s="726"/>
      <c r="P33" s="726"/>
      <c r="Q33" s="778"/>
      <c r="R33" s="779"/>
    </row>
    <row r="34" spans="1:18">
      <c r="A34" s="701" t="s">
        <v>921</v>
      </c>
      <c r="B34" s="717"/>
      <c r="C34" s="717"/>
      <c r="D34" s="717"/>
      <c r="E34" s="717"/>
      <c r="F34" s="717"/>
      <c r="G34" s="717"/>
      <c r="H34" s="780"/>
      <c r="I34" s="726"/>
      <c r="J34" s="726"/>
      <c r="K34" s="726"/>
      <c r="L34" s="781"/>
      <c r="M34" s="726"/>
      <c r="N34" s="726"/>
      <c r="O34" s="726"/>
      <c r="P34" s="726"/>
      <c r="Q34" s="778"/>
      <c r="R34" s="779"/>
    </row>
    <row r="35" spans="1:18">
      <c r="A35" s="1486" t="s">
        <v>922</v>
      </c>
      <c r="B35" s="1486"/>
      <c r="C35" s="1486"/>
      <c r="D35" s="1486"/>
      <c r="E35" s="1486"/>
      <c r="F35" s="1486"/>
      <c r="G35" s="1486"/>
      <c r="H35" s="1486"/>
      <c r="I35" s="1486"/>
      <c r="J35" s="782"/>
      <c r="K35" s="782"/>
      <c r="L35" s="782"/>
      <c r="M35" s="782"/>
      <c r="N35" s="782"/>
      <c r="O35" s="782"/>
      <c r="P35" s="782"/>
      <c r="Q35" s="778"/>
      <c r="R35" s="779"/>
    </row>
    <row r="36" spans="1:18">
      <c r="A36" s="753" t="s">
        <v>583</v>
      </c>
      <c r="B36" s="701"/>
      <c r="C36" s="701"/>
      <c r="D36" s="701"/>
      <c r="E36" s="701"/>
      <c r="F36" s="701"/>
      <c r="G36" s="719"/>
      <c r="H36" s="726" t="s">
        <v>876</v>
      </c>
      <c r="I36" s="729"/>
      <c r="J36" s="719"/>
      <c r="K36" s="719"/>
      <c r="L36" s="783"/>
      <c r="M36" s="719"/>
      <c r="N36" s="726"/>
      <c r="O36" s="701"/>
      <c r="P36" s="701"/>
      <c r="Q36" s="701"/>
      <c r="R36" s="701"/>
    </row>
    <row r="37" spans="1:18">
      <c r="A37" s="753"/>
      <c r="B37" s="701"/>
      <c r="C37" s="701"/>
      <c r="D37" s="701"/>
      <c r="E37" s="701"/>
      <c r="F37" s="701"/>
      <c r="G37" s="701"/>
      <c r="H37" s="701"/>
      <c r="I37" s="719"/>
      <c r="J37" s="701" t="s">
        <v>876</v>
      </c>
      <c r="K37" s="701"/>
      <c r="L37" s="701"/>
      <c r="M37" s="701"/>
      <c r="N37" s="701"/>
      <c r="O37" s="701"/>
      <c r="P37" s="701"/>
      <c r="Q37" s="701"/>
      <c r="R37" s="701"/>
    </row>
    <row r="39" spans="1:18">
      <c r="P39" s="784"/>
    </row>
    <row r="40" spans="1:18">
      <c r="H40" s="784"/>
      <c r="P40" s="784"/>
      <c r="Q40" s="784"/>
    </row>
    <row r="41" spans="1:18">
      <c r="H41" s="784"/>
      <c r="P41" s="784"/>
    </row>
    <row r="42" spans="1:18">
      <c r="P42" s="784"/>
    </row>
    <row r="43" spans="1:18">
      <c r="H43" s="784"/>
      <c r="P43" s="784"/>
    </row>
  </sheetData>
  <mergeCells count="23">
    <mergeCell ref="H21:H22"/>
    <mergeCell ref="I21:I22"/>
    <mergeCell ref="J21:J22"/>
    <mergeCell ref="A35:I35"/>
    <mergeCell ref="A19:J19"/>
    <mergeCell ref="A20:A22"/>
    <mergeCell ref="B20:B22"/>
    <mergeCell ref="C20:F20"/>
    <mergeCell ref="G20:H20"/>
    <mergeCell ref="I20:J20"/>
    <mergeCell ref="C21:D21"/>
    <mergeCell ref="E21:F21"/>
    <mergeCell ref="G21:G22"/>
    <mergeCell ref="A1:R1"/>
    <mergeCell ref="A2:R2"/>
    <mergeCell ref="A3:A4"/>
    <mergeCell ref="B3:B4"/>
    <mergeCell ref="C3:E3"/>
    <mergeCell ref="F3:H3"/>
    <mergeCell ref="I3:K3"/>
    <mergeCell ref="L3:N3"/>
    <mergeCell ref="O3:P3"/>
    <mergeCell ref="Q3:R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0"/>
  <sheetViews>
    <sheetView workbookViewId="0">
      <selection activeCell="F11" sqref="F11"/>
    </sheetView>
  </sheetViews>
  <sheetFormatPr defaultColWidth="8.85546875" defaultRowHeight="15"/>
  <cols>
    <col min="1" max="1" width="21.7109375" style="21" customWidth="1"/>
    <col min="2" max="3" width="11.28515625" style="21" customWidth="1"/>
    <col min="4" max="4" width="4.85546875" style="21" bestFit="1" customWidth="1"/>
    <col min="5" max="16384" width="8.85546875" style="21"/>
  </cols>
  <sheetData>
    <row r="1" spans="1:15" ht="15.75" customHeight="1">
      <c r="A1" s="1179" t="s">
        <v>283</v>
      </c>
      <c r="B1" s="1179"/>
      <c r="C1" s="1179"/>
    </row>
    <row r="2" spans="1:15" s="22" customFormat="1" ht="32.25" customHeight="1">
      <c r="A2" s="73" t="s">
        <v>83</v>
      </c>
      <c r="B2" s="74" t="s">
        <v>71</v>
      </c>
      <c r="C2" s="63" t="s">
        <v>441</v>
      </c>
    </row>
    <row r="3" spans="1:15" s="22" customFormat="1">
      <c r="A3" s="75" t="s">
        <v>58</v>
      </c>
      <c r="B3" s="76">
        <v>46</v>
      </c>
      <c r="C3" s="77">
        <v>495.38279999999992</v>
      </c>
    </row>
    <row r="4" spans="1:15" s="22" customFormat="1">
      <c r="A4" s="75" t="s">
        <v>61</v>
      </c>
      <c r="B4" s="76">
        <f>SUM(B5:B15)</f>
        <v>20</v>
      </c>
      <c r="C4" s="1146">
        <f>SUM(C5:C15)</f>
        <v>119.035</v>
      </c>
    </row>
    <row r="5" spans="1:15" s="22" customFormat="1">
      <c r="A5" s="207">
        <v>43922</v>
      </c>
      <c r="B5" s="216">
        <v>3</v>
      </c>
      <c r="C5" s="217">
        <v>13.92</v>
      </c>
    </row>
    <row r="6" spans="1:15" s="22" customFormat="1">
      <c r="A6" s="207">
        <v>43952</v>
      </c>
      <c r="B6" s="216">
        <v>0</v>
      </c>
      <c r="C6" s="217">
        <v>0</v>
      </c>
    </row>
    <row r="7" spans="1:15" s="22" customFormat="1">
      <c r="A7" s="207">
        <v>43983</v>
      </c>
      <c r="B7" s="216">
        <v>1</v>
      </c>
      <c r="C7" s="217">
        <v>2.46</v>
      </c>
    </row>
    <row r="8" spans="1:15" s="22" customFormat="1">
      <c r="A8" s="207">
        <v>44013</v>
      </c>
      <c r="B8" s="216">
        <v>2</v>
      </c>
      <c r="C8" s="217">
        <v>14.53</v>
      </c>
    </row>
    <row r="9" spans="1:15" s="22" customFormat="1">
      <c r="A9" s="207">
        <v>44044</v>
      </c>
      <c r="B9" s="216">
        <v>2</v>
      </c>
      <c r="C9" s="217">
        <v>11.45</v>
      </c>
    </row>
    <row r="10" spans="1:15" s="22" customFormat="1">
      <c r="A10" s="207">
        <v>44075</v>
      </c>
      <c r="B10" s="216">
        <v>1</v>
      </c>
      <c r="C10" s="217">
        <v>6.8849999999999998</v>
      </c>
    </row>
    <row r="11" spans="1:15" s="22" customFormat="1">
      <c r="A11" s="207">
        <v>44105</v>
      </c>
      <c r="B11" s="216">
        <v>8</v>
      </c>
      <c r="C11" s="217">
        <v>62.26</v>
      </c>
    </row>
    <row r="12" spans="1:15" s="22" customFormat="1">
      <c r="A12" s="207">
        <v>44136</v>
      </c>
      <c r="B12" s="216">
        <v>1</v>
      </c>
      <c r="C12" s="217">
        <v>1.59</v>
      </c>
    </row>
    <row r="13" spans="1:15" s="22" customFormat="1">
      <c r="A13" s="207">
        <v>44166</v>
      </c>
      <c r="B13" s="216">
        <v>1</v>
      </c>
      <c r="C13" s="217">
        <v>2.7</v>
      </c>
    </row>
    <row r="14" spans="1:15" s="22" customFormat="1">
      <c r="A14" s="207">
        <v>44227</v>
      </c>
      <c r="B14" s="216">
        <v>0</v>
      </c>
      <c r="C14" s="217">
        <v>0</v>
      </c>
    </row>
    <row r="15" spans="1:15" s="22" customFormat="1">
      <c r="A15" s="207">
        <v>44255</v>
      </c>
      <c r="B15" s="216">
        <v>1</v>
      </c>
      <c r="C15" s="217">
        <v>3.24</v>
      </c>
    </row>
    <row r="16" spans="1:15" s="22" customFormat="1" ht="15" customHeight="1">
      <c r="A16" s="86" t="s">
        <v>354</v>
      </c>
      <c r="B16" s="86"/>
      <c r="C16" s="86"/>
      <c r="D16" s="78"/>
      <c r="E16" s="78"/>
      <c r="F16" s="78"/>
      <c r="G16" s="78"/>
      <c r="H16" s="78"/>
      <c r="I16" s="78"/>
      <c r="J16" s="78"/>
      <c r="K16" s="78"/>
      <c r="L16" s="78"/>
      <c r="M16" s="78"/>
      <c r="N16" s="78"/>
      <c r="O16" s="78"/>
    </row>
    <row r="17" spans="1:15" s="22" customFormat="1" ht="61.5" customHeight="1">
      <c r="A17" s="1217" t="s">
        <v>353</v>
      </c>
      <c r="B17" s="1217"/>
      <c r="C17" s="1217"/>
      <c r="D17" s="78"/>
      <c r="E17" s="78"/>
      <c r="F17" s="78"/>
      <c r="G17" s="78"/>
      <c r="H17" s="78"/>
      <c r="I17" s="78"/>
      <c r="J17" s="78"/>
      <c r="K17" s="78"/>
      <c r="L17" s="78"/>
      <c r="M17" s="78"/>
      <c r="N17" s="78"/>
      <c r="O17" s="78"/>
    </row>
    <row r="18" spans="1:15" s="22" customFormat="1" ht="15" customHeight="1">
      <c r="A18" s="1217" t="s">
        <v>1175</v>
      </c>
      <c r="B18" s="1217"/>
      <c r="C18" s="1217"/>
      <c r="D18" s="78"/>
      <c r="E18" s="78"/>
      <c r="F18" s="78"/>
      <c r="G18" s="78"/>
      <c r="H18" s="78"/>
      <c r="I18" s="78"/>
      <c r="J18" s="78"/>
      <c r="K18" s="78"/>
      <c r="L18" s="78"/>
      <c r="M18" s="78"/>
      <c r="N18" s="78"/>
      <c r="O18" s="78"/>
    </row>
    <row r="19" spans="1:15" s="22" customFormat="1">
      <c r="A19" s="1180" t="s">
        <v>72</v>
      </c>
      <c r="B19" s="1180"/>
      <c r="C19" s="1180"/>
    </row>
    <row r="20" spans="1:15" s="22" customFormat="1"/>
  </sheetData>
  <mergeCells count="4">
    <mergeCell ref="A1:C1"/>
    <mergeCell ref="A17:C17"/>
    <mergeCell ref="A18:C18"/>
    <mergeCell ref="A19:C19"/>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V266"/>
  <sheetViews>
    <sheetView zoomScaleNormal="100" zoomScaleSheetLayoutView="85" workbookViewId="0">
      <selection activeCell="H33" sqref="H33"/>
    </sheetView>
  </sheetViews>
  <sheetFormatPr defaultColWidth="9.140625" defaultRowHeight="15.75"/>
  <cols>
    <col min="1" max="1" width="9.140625" style="786"/>
    <col min="2" max="2" width="9.5703125" style="786" bestFit="1" customWidth="1"/>
    <col min="3" max="3" width="9.5703125" style="786" customWidth="1"/>
    <col min="4" max="5" width="10.5703125" style="786" customWidth="1"/>
    <col min="6" max="6" width="10.85546875" style="786" customWidth="1"/>
    <col min="7" max="7" width="12.7109375" style="786" customWidth="1"/>
    <col min="8" max="8" width="11.7109375" style="786" customWidth="1"/>
    <col min="9" max="9" width="12.7109375" style="786" customWidth="1"/>
    <col min="10" max="10" width="13.5703125" style="786" customWidth="1"/>
    <col min="11" max="11" width="10.140625" style="786" bestFit="1" customWidth="1"/>
    <col min="12" max="14" width="10.140625" style="1023" customWidth="1"/>
    <col min="15" max="15" width="10.7109375" style="786" customWidth="1"/>
    <col min="16" max="16" width="10.42578125" style="786" customWidth="1"/>
    <col min="17" max="17" width="10.85546875" style="786" customWidth="1"/>
    <col min="18" max="18" width="10.5703125" style="786" bestFit="1" customWidth="1"/>
    <col min="19" max="19" width="9.42578125" style="786" bestFit="1" customWidth="1"/>
    <col min="20" max="16384" width="9.140625" style="786"/>
  </cols>
  <sheetData>
    <row r="1" spans="1:18">
      <c r="A1" s="785" t="s">
        <v>923</v>
      </c>
      <c r="L1" s="798"/>
      <c r="M1" s="798"/>
      <c r="N1" s="798"/>
    </row>
    <row r="2" spans="1:18" ht="18.75">
      <c r="A2" s="1488" t="s">
        <v>862</v>
      </c>
      <c r="B2" s="1488"/>
      <c r="C2" s="1488"/>
      <c r="D2" s="1488"/>
      <c r="E2" s="1488"/>
      <c r="F2" s="1488"/>
      <c r="G2" s="1488"/>
      <c r="H2" s="1488"/>
      <c r="I2" s="1488"/>
      <c r="J2" s="1488"/>
      <c r="K2" s="1488"/>
      <c r="L2" s="1488"/>
      <c r="M2" s="1488"/>
      <c r="N2" s="1488"/>
      <c r="O2" s="1488"/>
      <c r="P2" s="1488"/>
      <c r="Q2" s="1488"/>
      <c r="R2" s="1489"/>
    </row>
    <row r="3" spans="1:18" ht="45.6" customHeight="1">
      <c r="A3" s="1498" t="s">
        <v>779</v>
      </c>
      <c r="B3" s="1498" t="s">
        <v>886</v>
      </c>
      <c r="C3" s="1490" t="s">
        <v>864</v>
      </c>
      <c r="D3" s="1491"/>
      <c r="E3" s="1492"/>
      <c r="F3" s="1498" t="s">
        <v>866</v>
      </c>
      <c r="G3" s="1498"/>
      <c r="H3" s="1498"/>
      <c r="I3" s="1490" t="s">
        <v>889</v>
      </c>
      <c r="J3" s="1491"/>
      <c r="K3" s="1492"/>
      <c r="L3" s="1490" t="s">
        <v>887</v>
      </c>
      <c r="M3" s="1491"/>
      <c r="N3" s="1492"/>
      <c r="O3" s="1490" t="s">
        <v>53</v>
      </c>
      <c r="P3" s="1492"/>
      <c r="Q3" s="1490" t="s">
        <v>892</v>
      </c>
      <c r="R3" s="1492"/>
    </row>
    <row r="4" spans="1:18" ht="47.25">
      <c r="A4" s="1498"/>
      <c r="B4" s="1498"/>
      <c r="C4" s="992" t="s">
        <v>924</v>
      </c>
      <c r="D4" s="992" t="s">
        <v>894</v>
      </c>
      <c r="E4" s="787" t="s">
        <v>1105</v>
      </c>
      <c r="F4" s="992" t="s">
        <v>924</v>
      </c>
      <c r="G4" s="992" t="s">
        <v>894</v>
      </c>
      <c r="H4" s="787" t="s">
        <v>1105</v>
      </c>
      <c r="I4" s="992" t="s">
        <v>924</v>
      </c>
      <c r="J4" s="788" t="s">
        <v>894</v>
      </c>
      <c r="K4" s="789" t="s">
        <v>1106</v>
      </c>
      <c r="L4" s="992" t="s">
        <v>924</v>
      </c>
      <c r="M4" s="788" t="s">
        <v>894</v>
      </c>
      <c r="N4" s="789" t="s">
        <v>1106</v>
      </c>
      <c r="O4" s="788" t="s">
        <v>894</v>
      </c>
      <c r="P4" s="788" t="s">
        <v>1106</v>
      </c>
      <c r="Q4" s="788" t="s">
        <v>1191</v>
      </c>
      <c r="R4" s="787" t="s">
        <v>1107</v>
      </c>
    </row>
    <row r="5" spans="1:18">
      <c r="A5" s="790" t="s">
        <v>58</v>
      </c>
      <c r="B5" s="791">
        <v>259</v>
      </c>
      <c r="C5" s="792" t="s">
        <v>215</v>
      </c>
      <c r="D5" s="792" t="s">
        <v>215</v>
      </c>
      <c r="E5" s="792" t="s">
        <v>215</v>
      </c>
      <c r="F5" s="791">
        <v>2.1864300000000003E-2</v>
      </c>
      <c r="G5" s="791">
        <v>65928</v>
      </c>
      <c r="H5" s="791">
        <v>5773.6021940000001</v>
      </c>
      <c r="I5" s="793">
        <v>0.01</v>
      </c>
      <c r="J5" s="791">
        <v>79626</v>
      </c>
      <c r="K5" s="791">
        <v>588.69708099999991</v>
      </c>
      <c r="L5" s="793"/>
      <c r="M5" s="793"/>
      <c r="N5" s="793"/>
      <c r="O5" s="791">
        <v>145554</v>
      </c>
      <c r="P5" s="794">
        <v>6362.0044560000006</v>
      </c>
      <c r="Q5" s="791">
        <v>8</v>
      </c>
      <c r="R5" s="791">
        <v>0.33</v>
      </c>
    </row>
    <row r="6" spans="1:18" ht="15" customHeight="1">
      <c r="A6" s="790" t="s">
        <v>61</v>
      </c>
      <c r="B6" s="791">
        <f>SUM(B7:B17)</f>
        <v>232</v>
      </c>
      <c r="C6" s="791">
        <f t="shared" ref="C6:P6" si="0">SUM(C7:C17)</f>
        <v>293.58000000000004</v>
      </c>
      <c r="D6" s="791">
        <f t="shared" si="0"/>
        <v>29358</v>
      </c>
      <c r="E6" s="791">
        <f t="shared" si="0"/>
        <v>3180.3893800000005</v>
      </c>
      <c r="F6" s="791">
        <f t="shared" si="0"/>
        <v>1.2724000000000001E-3</v>
      </c>
      <c r="G6" s="791">
        <f t="shared" si="0"/>
        <v>12679</v>
      </c>
      <c r="H6" s="791">
        <f t="shared" si="0"/>
        <v>615.54061500000012</v>
      </c>
      <c r="I6" s="791">
        <f t="shared" si="0"/>
        <v>0</v>
      </c>
      <c r="J6" s="791">
        <f t="shared" si="0"/>
        <v>0</v>
      </c>
      <c r="K6" s="791">
        <f t="shared" si="0"/>
        <v>0</v>
      </c>
      <c r="L6" s="793">
        <f t="shared" si="0"/>
        <v>5.5E-2</v>
      </c>
      <c r="M6" s="793">
        <f t="shared" si="0"/>
        <v>22</v>
      </c>
      <c r="N6" s="793">
        <f t="shared" si="0"/>
        <v>3.8152374999999994</v>
      </c>
      <c r="O6" s="791">
        <f t="shared" si="0"/>
        <v>42059</v>
      </c>
      <c r="P6" s="791">
        <f t="shared" si="0"/>
        <v>3799.7452325000008</v>
      </c>
      <c r="Q6" s="793">
        <f>Q17</f>
        <v>39</v>
      </c>
      <c r="R6" s="793">
        <f>R17</f>
        <v>3.88</v>
      </c>
    </row>
    <row r="7" spans="1:18">
      <c r="A7" s="795">
        <v>43922</v>
      </c>
      <c r="B7" s="792">
        <v>18</v>
      </c>
      <c r="C7" s="792" t="s">
        <v>215</v>
      </c>
      <c r="D7" s="792" t="s">
        <v>215</v>
      </c>
      <c r="E7" s="792" t="s">
        <v>215</v>
      </c>
      <c r="F7" s="796">
        <v>1.2560000000000002E-4</v>
      </c>
      <c r="G7" s="792">
        <v>1256</v>
      </c>
      <c r="H7" s="792">
        <v>57.360366999999997</v>
      </c>
      <c r="I7" s="792">
        <v>0</v>
      </c>
      <c r="J7" s="792">
        <v>0</v>
      </c>
      <c r="K7" s="792">
        <v>0</v>
      </c>
      <c r="L7" s="796" t="s">
        <v>215</v>
      </c>
      <c r="M7" s="796" t="s">
        <v>215</v>
      </c>
      <c r="N7" s="796" t="s">
        <v>215</v>
      </c>
      <c r="O7" s="792">
        <v>1256</v>
      </c>
      <c r="P7" s="792">
        <v>57.360366999999997</v>
      </c>
      <c r="Q7" s="792">
        <v>17</v>
      </c>
      <c r="R7" s="792">
        <v>0.76</v>
      </c>
    </row>
    <row r="8" spans="1:18">
      <c r="A8" s="795">
        <v>43953</v>
      </c>
      <c r="B8" s="792">
        <v>21</v>
      </c>
      <c r="C8" s="792" t="s">
        <v>215</v>
      </c>
      <c r="D8" s="792" t="s">
        <v>215</v>
      </c>
      <c r="E8" s="792" t="s">
        <v>215</v>
      </c>
      <c r="F8" s="796">
        <v>1.6510000000000006E-4</v>
      </c>
      <c r="G8" s="792">
        <v>1651</v>
      </c>
      <c r="H8" s="792">
        <v>76.517431000000016</v>
      </c>
      <c r="I8" s="792">
        <v>0</v>
      </c>
      <c r="J8" s="792">
        <v>0</v>
      </c>
      <c r="K8" s="792">
        <v>0</v>
      </c>
      <c r="L8" s="796" t="s">
        <v>215</v>
      </c>
      <c r="M8" s="796" t="s">
        <v>215</v>
      </c>
      <c r="N8" s="796" t="s">
        <v>215</v>
      </c>
      <c r="O8" s="792">
        <v>1651</v>
      </c>
      <c r="P8" s="792">
        <v>76.517431000000016</v>
      </c>
      <c r="Q8" s="792">
        <v>3</v>
      </c>
      <c r="R8" s="796">
        <v>0.14000000000000001</v>
      </c>
    </row>
    <row r="9" spans="1:18">
      <c r="A9" s="795">
        <v>43985</v>
      </c>
      <c r="B9" s="792">
        <v>22</v>
      </c>
      <c r="C9" s="792" t="s">
        <v>215</v>
      </c>
      <c r="D9" s="792" t="s">
        <v>215</v>
      </c>
      <c r="E9" s="792" t="s">
        <v>215</v>
      </c>
      <c r="F9" s="796">
        <v>4.4740000000000009E-4</v>
      </c>
      <c r="G9" s="792">
        <v>4474</v>
      </c>
      <c r="H9" s="792">
        <v>209.17937999999998</v>
      </c>
      <c r="I9" s="792">
        <v>0</v>
      </c>
      <c r="J9" s="792">
        <v>0</v>
      </c>
      <c r="K9" s="792">
        <v>0</v>
      </c>
      <c r="L9" s="796" t="s">
        <v>215</v>
      </c>
      <c r="M9" s="796" t="s">
        <v>215</v>
      </c>
      <c r="N9" s="796" t="s">
        <v>215</v>
      </c>
      <c r="O9" s="792">
        <f>SUM(G9,J9)</f>
        <v>4474</v>
      </c>
      <c r="P9" s="792">
        <f>SUM(H9,K9)</f>
        <v>209.17937999999998</v>
      </c>
      <c r="Q9" s="792">
        <v>18</v>
      </c>
      <c r="R9" s="796">
        <v>0.87</v>
      </c>
    </row>
    <row r="10" spans="1:18" s="798" customFormat="1">
      <c r="A10" s="797">
        <v>44016</v>
      </c>
      <c r="B10" s="796">
        <v>23</v>
      </c>
      <c r="C10" s="796" t="s">
        <v>215</v>
      </c>
      <c r="D10" s="796" t="s">
        <v>215</v>
      </c>
      <c r="E10" s="796" t="s">
        <v>215</v>
      </c>
      <c r="F10" s="796">
        <v>9.1099999999999992E-5</v>
      </c>
      <c r="G10" s="796">
        <v>911</v>
      </c>
      <c r="H10" s="796">
        <v>45.493170000000013</v>
      </c>
      <c r="I10" s="796">
        <v>0</v>
      </c>
      <c r="J10" s="796">
        <v>0</v>
      </c>
      <c r="K10" s="796">
        <v>0</v>
      </c>
      <c r="L10" s="796" t="s">
        <v>215</v>
      </c>
      <c r="M10" s="796" t="s">
        <v>215</v>
      </c>
      <c r="N10" s="796" t="s">
        <v>215</v>
      </c>
      <c r="O10" s="796">
        <v>911</v>
      </c>
      <c r="P10" s="796">
        <v>45.493170000000013</v>
      </c>
      <c r="Q10" s="796">
        <v>23</v>
      </c>
      <c r="R10" s="796">
        <v>1.23</v>
      </c>
    </row>
    <row r="11" spans="1:18">
      <c r="A11" s="795">
        <v>44048</v>
      </c>
      <c r="B11" s="792">
        <v>21</v>
      </c>
      <c r="C11" s="792" t="s">
        <v>215</v>
      </c>
      <c r="D11" s="792" t="s">
        <v>215</v>
      </c>
      <c r="E11" s="792" t="s">
        <v>215</v>
      </c>
      <c r="F11" s="796">
        <v>1.7479999999999999E-4</v>
      </c>
      <c r="G11" s="792">
        <v>1748</v>
      </c>
      <c r="H11" s="792">
        <v>92.012484999999998</v>
      </c>
      <c r="I11" s="792">
        <v>0</v>
      </c>
      <c r="J11" s="792">
        <v>0</v>
      </c>
      <c r="K11" s="792">
        <v>0</v>
      </c>
      <c r="L11" s="796" t="s">
        <v>215</v>
      </c>
      <c r="M11" s="796" t="s">
        <v>215</v>
      </c>
      <c r="N11" s="796" t="s">
        <v>215</v>
      </c>
      <c r="O11" s="792">
        <v>1748</v>
      </c>
      <c r="P11" s="792">
        <v>92.012484999999998</v>
      </c>
      <c r="Q11" s="792">
        <v>7</v>
      </c>
      <c r="R11" s="796">
        <v>0.36</v>
      </c>
    </row>
    <row r="12" spans="1:18">
      <c r="A12" s="795">
        <v>44080</v>
      </c>
      <c r="B12" s="792">
        <v>22</v>
      </c>
      <c r="C12" s="792" t="s">
        <v>215</v>
      </c>
      <c r="D12" s="792" t="s">
        <v>215</v>
      </c>
      <c r="E12" s="792" t="s">
        <v>215</v>
      </c>
      <c r="F12" s="796">
        <v>1.2850000000000003E-4</v>
      </c>
      <c r="G12" s="792">
        <v>1240</v>
      </c>
      <c r="H12" s="792">
        <v>65.526607000000013</v>
      </c>
      <c r="I12" s="792">
        <v>0</v>
      </c>
      <c r="J12" s="792">
        <v>0</v>
      </c>
      <c r="K12" s="792">
        <v>0</v>
      </c>
      <c r="L12" s="796" t="s">
        <v>215</v>
      </c>
      <c r="M12" s="796" t="s">
        <v>215</v>
      </c>
      <c r="N12" s="796" t="s">
        <v>215</v>
      </c>
      <c r="O12" s="792">
        <v>1240</v>
      </c>
      <c r="P12" s="792">
        <v>65.526607000000013</v>
      </c>
      <c r="Q12" s="792">
        <v>7</v>
      </c>
      <c r="R12" s="796">
        <v>0.35</v>
      </c>
    </row>
    <row r="13" spans="1:18">
      <c r="A13" s="795">
        <v>44111</v>
      </c>
      <c r="B13" s="792">
        <v>21</v>
      </c>
      <c r="C13" s="792" t="s">
        <v>215</v>
      </c>
      <c r="D13" s="792" t="s">
        <v>215</v>
      </c>
      <c r="E13" s="792" t="s">
        <v>215</v>
      </c>
      <c r="F13" s="796">
        <v>2.7900000000000007E-5</v>
      </c>
      <c r="G13" s="792">
        <v>279</v>
      </c>
      <c r="H13" s="792">
        <v>14.122890999999999</v>
      </c>
      <c r="I13" s="792">
        <v>0</v>
      </c>
      <c r="J13" s="792">
        <v>0</v>
      </c>
      <c r="K13" s="792">
        <v>0</v>
      </c>
      <c r="L13" s="796" t="s">
        <v>215</v>
      </c>
      <c r="M13" s="796" t="s">
        <v>215</v>
      </c>
      <c r="N13" s="796" t="s">
        <v>215</v>
      </c>
      <c r="O13" s="792">
        <v>279</v>
      </c>
      <c r="P13" s="792">
        <v>14.122890999999999</v>
      </c>
      <c r="Q13" s="792">
        <v>5</v>
      </c>
      <c r="R13" s="796">
        <v>0.25</v>
      </c>
    </row>
    <row r="14" spans="1:18">
      <c r="A14" s="795">
        <v>44143</v>
      </c>
      <c r="B14" s="792">
        <v>22</v>
      </c>
      <c r="C14" s="792" t="s">
        <v>215</v>
      </c>
      <c r="D14" s="792" t="s">
        <v>215</v>
      </c>
      <c r="E14" s="792" t="s">
        <v>215</v>
      </c>
      <c r="F14" s="796">
        <v>3.7100000000000001E-5</v>
      </c>
      <c r="G14" s="792">
        <v>371</v>
      </c>
      <c r="H14" s="792">
        <v>18.669679000000002</v>
      </c>
      <c r="I14" s="792">
        <v>0</v>
      </c>
      <c r="J14" s="792">
        <v>0</v>
      </c>
      <c r="K14" s="792">
        <v>0</v>
      </c>
      <c r="L14" s="796" t="s">
        <v>215</v>
      </c>
      <c r="M14" s="796" t="s">
        <v>215</v>
      </c>
      <c r="N14" s="796" t="s">
        <v>215</v>
      </c>
      <c r="O14" s="792">
        <v>371</v>
      </c>
      <c r="P14" s="799">
        <v>18.669679000000002</v>
      </c>
      <c r="Q14" s="792">
        <v>25</v>
      </c>
      <c r="R14" s="796">
        <v>1.23</v>
      </c>
    </row>
    <row r="15" spans="1:18" s="798" customFormat="1">
      <c r="A15" s="797">
        <v>44174</v>
      </c>
      <c r="B15" s="792">
        <v>22</v>
      </c>
      <c r="C15" s="792">
        <v>134.62</v>
      </c>
      <c r="D15" s="792">
        <v>13462</v>
      </c>
      <c r="E15" s="792">
        <v>1433.9238400000006</v>
      </c>
      <c r="F15" s="792">
        <v>3.0600000000000012E-5</v>
      </c>
      <c r="G15" s="792">
        <v>306</v>
      </c>
      <c r="H15" s="792">
        <v>15.143264000000002</v>
      </c>
      <c r="I15" s="792">
        <v>0</v>
      </c>
      <c r="J15" s="792">
        <v>0</v>
      </c>
      <c r="K15" s="792">
        <v>0</v>
      </c>
      <c r="L15" s="796" t="s">
        <v>215</v>
      </c>
      <c r="M15" s="796" t="s">
        <v>215</v>
      </c>
      <c r="N15" s="796" t="s">
        <v>215</v>
      </c>
      <c r="O15" s="792">
        <v>13768</v>
      </c>
      <c r="P15" s="792">
        <v>1449.0671040000007</v>
      </c>
      <c r="Q15" s="796">
        <v>38</v>
      </c>
      <c r="R15" s="796">
        <v>3.62</v>
      </c>
    </row>
    <row r="16" spans="1:18" s="798" customFormat="1">
      <c r="A16" s="797">
        <v>44206</v>
      </c>
      <c r="B16" s="796">
        <v>20</v>
      </c>
      <c r="C16" s="796">
        <v>74.930000000000007</v>
      </c>
      <c r="D16" s="796">
        <v>7493</v>
      </c>
      <c r="E16" s="796">
        <v>826.19159999999999</v>
      </c>
      <c r="F16" s="796">
        <v>2.2200000000000001E-5</v>
      </c>
      <c r="G16" s="796">
        <v>222</v>
      </c>
      <c r="H16" s="796">
        <v>11.035423000000002</v>
      </c>
      <c r="I16" s="796">
        <v>0</v>
      </c>
      <c r="J16" s="796">
        <v>0</v>
      </c>
      <c r="K16" s="796">
        <v>0</v>
      </c>
      <c r="L16" s="796" t="s">
        <v>215</v>
      </c>
      <c r="M16" s="796" t="s">
        <v>215</v>
      </c>
      <c r="N16" s="796" t="s">
        <v>215</v>
      </c>
      <c r="O16" s="796">
        <v>7715</v>
      </c>
      <c r="P16" s="796">
        <v>837.22702300000003</v>
      </c>
      <c r="Q16" s="796">
        <v>58</v>
      </c>
      <c r="R16" s="796">
        <v>5.52</v>
      </c>
    </row>
    <row r="17" spans="1:18" s="798" customFormat="1">
      <c r="A17" s="797">
        <v>44228</v>
      </c>
      <c r="B17" s="796">
        <v>20</v>
      </c>
      <c r="C17" s="796">
        <v>84.03</v>
      </c>
      <c r="D17" s="796">
        <v>8403</v>
      </c>
      <c r="E17" s="796">
        <v>920.27394000000004</v>
      </c>
      <c r="F17" s="796">
        <v>2.2100000000000002E-5</v>
      </c>
      <c r="G17" s="796">
        <v>221</v>
      </c>
      <c r="H17" s="796">
        <v>10.479917999999998</v>
      </c>
      <c r="I17" s="796">
        <v>0</v>
      </c>
      <c r="J17" s="796">
        <v>0</v>
      </c>
      <c r="K17" s="796">
        <v>0</v>
      </c>
      <c r="L17" s="796">
        <v>5.5E-2</v>
      </c>
      <c r="M17" s="796">
        <v>22</v>
      </c>
      <c r="N17" s="796">
        <v>3.8152374999999994</v>
      </c>
      <c r="O17" s="796">
        <v>8646</v>
      </c>
      <c r="P17" s="796">
        <v>934.5690955</v>
      </c>
      <c r="Q17" s="796">
        <v>39</v>
      </c>
      <c r="R17" s="796">
        <v>3.88</v>
      </c>
    </row>
    <row r="18" spans="1:18">
      <c r="H18" s="1024"/>
      <c r="L18" s="798"/>
      <c r="M18" s="798"/>
      <c r="N18" s="798"/>
    </row>
    <row r="19" spans="1:18" ht="18.75">
      <c r="A19" s="1493" t="s">
        <v>863</v>
      </c>
      <c r="B19" s="1494"/>
      <c r="C19" s="1494"/>
      <c r="D19" s="1494"/>
      <c r="E19" s="1494"/>
      <c r="F19" s="1494"/>
      <c r="G19" s="1494"/>
      <c r="H19" s="1494"/>
      <c r="I19" s="1494"/>
      <c r="J19" s="1495"/>
      <c r="L19" s="798"/>
      <c r="M19" s="798"/>
      <c r="N19" s="798"/>
      <c r="P19" s="800"/>
    </row>
    <row r="20" spans="1:18" ht="31.5" customHeight="1">
      <c r="A20" s="1496" t="s">
        <v>897</v>
      </c>
      <c r="B20" s="1496" t="s">
        <v>886</v>
      </c>
      <c r="C20" s="1497" t="s">
        <v>888</v>
      </c>
      <c r="D20" s="1497"/>
      <c r="E20" s="1497"/>
      <c r="F20" s="1497"/>
      <c r="G20" s="1497" t="s">
        <v>53</v>
      </c>
      <c r="H20" s="1499"/>
      <c r="I20" s="1497" t="s">
        <v>892</v>
      </c>
      <c r="J20" s="1497"/>
      <c r="L20" s="798"/>
      <c r="M20" s="798"/>
      <c r="N20" s="798"/>
    </row>
    <row r="21" spans="1:18" ht="21" customHeight="1">
      <c r="A21" s="1496"/>
      <c r="B21" s="1496"/>
      <c r="C21" s="1500" t="s">
        <v>898</v>
      </c>
      <c r="D21" s="1500"/>
      <c r="E21" s="1500" t="s">
        <v>899</v>
      </c>
      <c r="F21" s="1500"/>
      <c r="G21" s="1501" t="s">
        <v>894</v>
      </c>
      <c r="H21" s="1503" t="s">
        <v>1108</v>
      </c>
      <c r="I21" s="1505" t="s">
        <v>1191</v>
      </c>
      <c r="J21" s="1496" t="s">
        <v>1109</v>
      </c>
      <c r="L21" s="798"/>
      <c r="M21" s="798"/>
      <c r="N21" s="798"/>
    </row>
    <row r="22" spans="1:18" ht="48" customHeight="1">
      <c r="A22" s="1496"/>
      <c r="B22" s="1496"/>
      <c r="C22" s="991" t="s">
        <v>894</v>
      </c>
      <c r="D22" s="788" t="s">
        <v>1106</v>
      </c>
      <c r="E22" s="991" t="s">
        <v>894</v>
      </c>
      <c r="F22" s="788" t="s">
        <v>1106</v>
      </c>
      <c r="G22" s="1502"/>
      <c r="H22" s="1504"/>
      <c r="I22" s="1506"/>
      <c r="J22" s="1496"/>
      <c r="L22" s="798"/>
      <c r="M22" s="798"/>
      <c r="N22" s="798"/>
      <c r="O22" s="810"/>
      <c r="P22" s="810"/>
      <c r="Q22" s="786" t="s">
        <v>876</v>
      </c>
    </row>
    <row r="23" spans="1:18">
      <c r="A23" s="801" t="s">
        <v>61</v>
      </c>
      <c r="B23" s="802">
        <f>SUM(B24:B32)</f>
        <v>193</v>
      </c>
      <c r="C23" s="802">
        <f t="shared" ref="C23:H23" si="1">SUM(C24:C32)</f>
        <v>256519</v>
      </c>
      <c r="D23" s="802">
        <f t="shared" si="1"/>
        <v>13072.469580499999</v>
      </c>
      <c r="E23" s="802">
        <f t="shared" si="1"/>
        <v>160591</v>
      </c>
      <c r="F23" s="802">
        <f t="shared" si="1"/>
        <v>8076.8020719999995</v>
      </c>
      <c r="G23" s="802">
        <f t="shared" si="1"/>
        <v>417110</v>
      </c>
      <c r="H23" s="802">
        <f t="shared" si="1"/>
        <v>21149.271652499996</v>
      </c>
      <c r="I23" s="803">
        <f>I32</f>
        <v>2335</v>
      </c>
      <c r="J23" s="802">
        <f>J32</f>
        <v>110.02</v>
      </c>
      <c r="L23" s="798"/>
      <c r="M23" s="798"/>
      <c r="N23" s="798"/>
      <c r="O23" s="810"/>
      <c r="P23" s="810"/>
    </row>
    <row r="24" spans="1:18">
      <c r="A24" s="804">
        <v>43983</v>
      </c>
      <c r="B24" s="805">
        <v>22</v>
      </c>
      <c r="C24" s="806">
        <v>21403</v>
      </c>
      <c r="D24" s="806">
        <v>1028.3461460000001</v>
      </c>
      <c r="E24" s="806">
        <v>15232</v>
      </c>
      <c r="F24" s="806">
        <v>723.52905750000025</v>
      </c>
      <c r="G24" s="806">
        <f>SUM(C24,E24)</f>
        <v>36635</v>
      </c>
      <c r="H24" s="806">
        <f>SUM(D24,F24)</f>
        <v>1751.8752035000002</v>
      </c>
      <c r="I24" s="806">
        <v>1181</v>
      </c>
      <c r="J24" s="807">
        <v>56.33</v>
      </c>
      <c r="L24" s="798"/>
      <c r="M24" s="798"/>
      <c r="N24" s="798"/>
      <c r="O24" s="810"/>
      <c r="P24" s="810"/>
    </row>
    <row r="25" spans="1:18">
      <c r="A25" s="804">
        <v>44013</v>
      </c>
      <c r="B25" s="805">
        <v>23</v>
      </c>
      <c r="C25" s="806">
        <v>72333</v>
      </c>
      <c r="D25" s="806">
        <v>3649.5826454999997</v>
      </c>
      <c r="E25" s="806">
        <v>52135</v>
      </c>
      <c r="F25" s="806">
        <v>2586.1723284999994</v>
      </c>
      <c r="G25" s="806">
        <v>124468</v>
      </c>
      <c r="H25" s="806">
        <v>6235.7549739999995</v>
      </c>
      <c r="I25" s="806">
        <v>2760</v>
      </c>
      <c r="J25" s="807">
        <v>140.36000000000001</v>
      </c>
      <c r="L25" s="798"/>
      <c r="M25" s="798"/>
      <c r="N25" s="798"/>
      <c r="O25" s="810"/>
      <c r="P25" s="810"/>
    </row>
    <row r="26" spans="1:18">
      <c r="A26" s="804">
        <v>44044</v>
      </c>
      <c r="B26" s="805">
        <v>21</v>
      </c>
      <c r="C26" s="806">
        <v>23412</v>
      </c>
      <c r="D26" s="806">
        <v>1275.9778905000001</v>
      </c>
      <c r="E26" s="806">
        <v>20669</v>
      </c>
      <c r="F26" s="806">
        <v>1105.9422065000003</v>
      </c>
      <c r="G26" s="806">
        <v>44081</v>
      </c>
      <c r="H26" s="806">
        <v>2381.9200970000002</v>
      </c>
      <c r="I26" s="806">
        <v>547</v>
      </c>
      <c r="J26" s="807">
        <v>27.41</v>
      </c>
      <c r="L26" s="798"/>
      <c r="M26" s="798"/>
      <c r="N26" s="798"/>
      <c r="O26" s="810"/>
      <c r="P26" s="810"/>
    </row>
    <row r="27" spans="1:18">
      <c r="A27" s="804">
        <v>44075</v>
      </c>
      <c r="B27" s="805">
        <v>22</v>
      </c>
      <c r="C27" s="806">
        <v>19568</v>
      </c>
      <c r="D27" s="806">
        <v>1017.1467119999999</v>
      </c>
      <c r="E27" s="806">
        <v>14137</v>
      </c>
      <c r="F27" s="806">
        <v>717.26084149999974</v>
      </c>
      <c r="G27" s="806">
        <v>33705</v>
      </c>
      <c r="H27" s="806">
        <v>1734.4075534999997</v>
      </c>
      <c r="I27" s="806">
        <v>3787</v>
      </c>
      <c r="J27" s="807">
        <v>191.08</v>
      </c>
      <c r="L27" s="798"/>
      <c r="M27" s="798"/>
      <c r="N27" s="798"/>
      <c r="O27" s="810"/>
      <c r="P27" s="810"/>
    </row>
    <row r="28" spans="1:18">
      <c r="A28" s="804">
        <v>44105</v>
      </c>
      <c r="B28" s="805">
        <v>21</v>
      </c>
      <c r="C28" s="806">
        <v>25980</v>
      </c>
      <c r="D28" s="806">
        <v>1340.5805444999994</v>
      </c>
      <c r="E28" s="806">
        <v>10221</v>
      </c>
      <c r="F28" s="806">
        <v>516.0190255</v>
      </c>
      <c r="G28" s="806">
        <v>36201</v>
      </c>
      <c r="H28" s="806">
        <v>1856.5995699999994</v>
      </c>
      <c r="I28" s="806">
        <v>4333</v>
      </c>
      <c r="J28" s="807">
        <v>222.55</v>
      </c>
      <c r="K28" s="808"/>
      <c r="L28" s="808"/>
      <c r="M28" s="808"/>
      <c r="N28" s="808"/>
      <c r="O28" s="809"/>
    </row>
    <row r="29" spans="1:18">
      <c r="A29" s="804">
        <v>44136</v>
      </c>
      <c r="B29" s="805">
        <v>22</v>
      </c>
      <c r="C29" s="806">
        <v>33194</v>
      </c>
      <c r="D29" s="806">
        <v>1724.1413520000006</v>
      </c>
      <c r="E29" s="806">
        <v>17723</v>
      </c>
      <c r="F29" s="806">
        <v>909.17118899999946</v>
      </c>
      <c r="G29" s="806">
        <v>50917</v>
      </c>
      <c r="H29" s="806">
        <v>2633.3125410000002</v>
      </c>
      <c r="I29" s="806">
        <v>3113</v>
      </c>
      <c r="J29" s="807">
        <v>157.86000000000001</v>
      </c>
      <c r="K29" s="809"/>
      <c r="L29" s="809"/>
      <c r="M29" s="809"/>
      <c r="N29" s="809"/>
      <c r="O29" s="809"/>
      <c r="P29" s="810"/>
    </row>
    <row r="30" spans="1:18" s="798" customFormat="1">
      <c r="A30" s="811">
        <v>44166</v>
      </c>
      <c r="B30" s="812">
        <v>22</v>
      </c>
      <c r="C30" s="813">
        <v>23722</v>
      </c>
      <c r="D30" s="813">
        <v>1199.5189164999997</v>
      </c>
      <c r="E30" s="813">
        <v>6814</v>
      </c>
      <c r="F30" s="813">
        <v>338.29920399999997</v>
      </c>
      <c r="G30" s="813">
        <v>30536</v>
      </c>
      <c r="H30" s="813">
        <v>1537.8181204999996</v>
      </c>
      <c r="I30" s="813">
        <v>2169</v>
      </c>
      <c r="J30" s="814">
        <v>109.3</v>
      </c>
      <c r="K30" s="808"/>
      <c r="L30" s="808"/>
      <c r="M30" s="808"/>
      <c r="N30" s="808"/>
      <c r="O30" s="810"/>
    </row>
    <row r="31" spans="1:18" s="798" customFormat="1">
      <c r="A31" s="811">
        <v>44197</v>
      </c>
      <c r="B31" s="812">
        <v>20</v>
      </c>
      <c r="C31" s="813">
        <v>21075</v>
      </c>
      <c r="D31" s="813">
        <v>1075.542136</v>
      </c>
      <c r="E31" s="813">
        <v>16626</v>
      </c>
      <c r="F31" s="813">
        <v>838.23598750000019</v>
      </c>
      <c r="G31" s="813">
        <v>37701</v>
      </c>
      <c r="H31" s="813">
        <v>1913.7781235000002</v>
      </c>
      <c r="I31" s="813">
        <v>501</v>
      </c>
      <c r="J31" s="814">
        <v>24.72</v>
      </c>
      <c r="K31" s="808"/>
      <c r="L31" s="810"/>
      <c r="M31" s="808"/>
      <c r="N31" s="808"/>
      <c r="O31" s="810"/>
      <c r="P31" s="810"/>
    </row>
    <row r="32" spans="1:18" s="798" customFormat="1">
      <c r="A32" s="797">
        <v>44228</v>
      </c>
      <c r="B32" s="812">
        <v>20</v>
      </c>
      <c r="C32" s="813">
        <v>15832</v>
      </c>
      <c r="D32" s="813">
        <v>761.63323749999984</v>
      </c>
      <c r="E32" s="813">
        <v>7034</v>
      </c>
      <c r="F32" s="813">
        <v>342.17223199999984</v>
      </c>
      <c r="G32" s="813">
        <v>22866</v>
      </c>
      <c r="H32" s="813">
        <v>1103.8054694999996</v>
      </c>
      <c r="I32" s="813">
        <v>2335</v>
      </c>
      <c r="J32" s="814">
        <v>110.02</v>
      </c>
      <c r="K32" s="808"/>
      <c r="L32" s="810"/>
      <c r="M32" s="810"/>
      <c r="N32" s="808"/>
      <c r="O32" s="810"/>
      <c r="P32" s="810"/>
    </row>
    <row r="33" spans="1:21">
      <c r="A33" s="815" t="str">
        <f>'[1]1'!A8</f>
        <v>$ indicates as on February 28, 2021</v>
      </c>
      <c r="B33" s="816"/>
      <c r="C33" s="816"/>
      <c r="D33" s="816"/>
      <c r="E33" s="816"/>
      <c r="F33" s="817"/>
      <c r="G33" s="817"/>
      <c r="H33" s="819"/>
      <c r="I33" s="817"/>
      <c r="J33" s="817"/>
      <c r="K33" s="817"/>
      <c r="L33" s="1025"/>
      <c r="M33" s="1025"/>
      <c r="N33" s="1025"/>
      <c r="O33" s="817"/>
      <c r="P33" s="818"/>
      <c r="Q33" s="808"/>
      <c r="R33" s="808"/>
    </row>
    <row r="34" spans="1:21">
      <c r="A34" s="815" t="s">
        <v>1110</v>
      </c>
      <c r="B34" s="816"/>
      <c r="C34" s="816"/>
      <c r="D34" s="816"/>
      <c r="E34" s="816"/>
      <c r="F34" s="817"/>
      <c r="G34" s="817"/>
      <c r="H34" s="819"/>
      <c r="I34" s="817"/>
      <c r="J34" s="817"/>
      <c r="K34" s="817"/>
      <c r="L34" s="1025"/>
      <c r="M34" s="1025"/>
      <c r="N34" s="1025"/>
      <c r="O34" s="817"/>
      <c r="P34" s="818"/>
      <c r="Q34" s="808"/>
      <c r="R34" s="808"/>
    </row>
    <row r="35" spans="1:21">
      <c r="A35" s="815" t="s">
        <v>1111</v>
      </c>
      <c r="B35" s="816"/>
      <c r="C35" s="816"/>
      <c r="D35" s="816"/>
      <c r="E35" s="816"/>
      <c r="F35" s="817"/>
      <c r="G35" s="817"/>
      <c r="H35" s="817"/>
      <c r="I35" s="817"/>
      <c r="J35" s="817"/>
      <c r="K35" s="817"/>
      <c r="L35" s="1025"/>
      <c r="M35" s="1025"/>
      <c r="N35" s="1025"/>
      <c r="O35" s="817"/>
      <c r="P35" s="818"/>
      <c r="Q35" s="808"/>
      <c r="R35" s="808"/>
    </row>
    <row r="36" spans="1:21">
      <c r="A36" s="1026" t="s">
        <v>1192</v>
      </c>
      <c r="B36" s="1027"/>
      <c r="C36" s="1027"/>
      <c r="D36" s="1027"/>
      <c r="E36" s="1027"/>
      <c r="F36" s="1025"/>
      <c r="G36" s="1025"/>
      <c r="H36" s="1025"/>
      <c r="I36" s="1025"/>
      <c r="J36" s="1025"/>
      <c r="K36" s="1025"/>
      <c r="L36" s="1025"/>
      <c r="M36" s="1025"/>
      <c r="N36" s="1025"/>
      <c r="O36" s="817"/>
      <c r="P36" s="818"/>
      <c r="Q36" s="808"/>
      <c r="R36" s="808"/>
    </row>
    <row r="37" spans="1:21">
      <c r="A37" s="1026" t="s">
        <v>1193</v>
      </c>
      <c r="B37" s="1027"/>
      <c r="C37" s="1027"/>
      <c r="D37" s="1027"/>
      <c r="E37" s="1027"/>
      <c r="F37" s="1025"/>
      <c r="G37" s="1025"/>
      <c r="H37" s="1025"/>
      <c r="I37" s="1025"/>
      <c r="J37" s="1025"/>
      <c r="K37" s="1025"/>
      <c r="L37" s="1025"/>
      <c r="M37" s="1025"/>
      <c r="N37" s="1025"/>
      <c r="O37" s="817"/>
      <c r="P37" s="818"/>
      <c r="Q37" s="808"/>
      <c r="R37" s="808"/>
    </row>
    <row r="38" spans="1:21" ht="12.75" customHeight="1">
      <c r="A38" s="820" t="s">
        <v>122</v>
      </c>
      <c r="B38" s="798"/>
      <c r="C38" s="798"/>
      <c r="D38" s="798"/>
      <c r="E38" s="798"/>
      <c r="F38" s="798"/>
      <c r="G38" s="798"/>
      <c r="H38" s="798"/>
      <c r="I38" s="798"/>
      <c r="J38" s="798"/>
      <c r="K38" s="798"/>
      <c r="L38" s="798"/>
      <c r="M38" s="798"/>
      <c r="N38" s="798"/>
    </row>
    <row r="39" spans="1:21">
      <c r="A39" s="798"/>
      <c r="B39" s="798"/>
      <c r="C39" s="798"/>
      <c r="D39" s="798"/>
      <c r="E39" s="798"/>
      <c r="F39" s="798"/>
      <c r="G39" s="798"/>
      <c r="H39" s="798"/>
      <c r="I39" s="798"/>
      <c r="J39" s="798"/>
      <c r="K39" s="808"/>
      <c r="L39" s="808"/>
      <c r="M39" s="808"/>
      <c r="N39" s="808"/>
      <c r="O39" s="808"/>
      <c r="P39" s="808"/>
      <c r="Q39" s="798"/>
      <c r="R39" s="798"/>
    </row>
    <row r="40" spans="1:21">
      <c r="A40" s="798"/>
      <c r="B40" s="798"/>
      <c r="C40" s="798"/>
      <c r="D40" s="798"/>
      <c r="E40" s="798"/>
      <c r="F40" s="798"/>
      <c r="G40" s="798"/>
      <c r="H40" s="798"/>
      <c r="I40" s="798"/>
      <c r="J40" s="798"/>
      <c r="K40" s="798"/>
      <c r="L40" s="798"/>
      <c r="M40" s="798"/>
      <c r="N40" s="798"/>
      <c r="O40" s="798"/>
      <c r="P40" s="798"/>
      <c r="Q40" s="798"/>
      <c r="R40" s="798"/>
    </row>
    <row r="41" spans="1:21">
      <c r="A41" s="798"/>
      <c r="B41" s="798"/>
      <c r="C41" s="798"/>
      <c r="D41" s="798"/>
      <c r="E41" s="798"/>
      <c r="F41" s="798"/>
      <c r="G41" s="798"/>
      <c r="H41" s="798"/>
      <c r="I41" s="798"/>
      <c r="J41" s="798"/>
      <c r="K41" s="798"/>
      <c r="L41" s="798"/>
      <c r="M41" s="798"/>
      <c r="N41" s="798"/>
      <c r="S41" s="821"/>
      <c r="T41" s="821"/>
      <c r="U41" s="821"/>
    </row>
    <row r="42" spans="1:21">
      <c r="A42" s="798"/>
      <c r="B42" s="798"/>
      <c r="C42" s="798"/>
      <c r="D42" s="798"/>
      <c r="E42" s="798"/>
      <c r="F42" s="798"/>
      <c r="G42" s="798"/>
      <c r="H42" s="798"/>
      <c r="I42" s="798"/>
      <c r="J42" s="798"/>
      <c r="K42" s="798"/>
      <c r="L42" s="798"/>
      <c r="M42" s="798"/>
      <c r="N42" s="798"/>
      <c r="S42" s="821"/>
      <c r="T42" s="821"/>
      <c r="U42" s="821"/>
    </row>
    <row r="43" spans="1:21">
      <c r="A43" s="798"/>
      <c r="B43" s="798"/>
      <c r="C43" s="798"/>
      <c r="D43" s="798"/>
      <c r="E43" s="798"/>
      <c r="F43" s="798"/>
      <c r="G43" s="798"/>
      <c r="H43" s="798"/>
      <c r="I43" s="798"/>
      <c r="J43" s="798"/>
      <c r="K43" s="798"/>
      <c r="L43" s="798"/>
      <c r="M43" s="798"/>
      <c r="N43" s="798"/>
      <c r="S43" s="821"/>
      <c r="T43" s="821"/>
      <c r="U43" s="821"/>
    </row>
    <row r="44" spans="1:21">
      <c r="A44" s="798"/>
      <c r="B44" s="798"/>
      <c r="C44" s="798"/>
      <c r="D44" s="798"/>
      <c r="E44" s="798"/>
      <c r="F44" s="798"/>
      <c r="G44" s="798"/>
      <c r="H44" s="798"/>
      <c r="I44" s="798"/>
      <c r="J44" s="798"/>
      <c r="K44" s="798"/>
      <c r="L44" s="798"/>
      <c r="M44" s="798"/>
      <c r="N44" s="798"/>
      <c r="S44" s="821"/>
      <c r="T44" s="821"/>
      <c r="U44" s="821"/>
    </row>
    <row r="45" spans="1:21">
      <c r="A45" s="798"/>
      <c r="B45" s="798"/>
      <c r="C45" s="798"/>
      <c r="D45" s="798"/>
      <c r="E45" s="798"/>
      <c r="F45" s="798"/>
      <c r="G45" s="798"/>
      <c r="H45" s="798"/>
      <c r="I45" s="798"/>
      <c r="J45" s="798"/>
      <c r="K45" s="798"/>
      <c r="L45" s="798"/>
      <c r="M45" s="798"/>
      <c r="N45" s="798"/>
      <c r="S45" s="821"/>
      <c r="T45" s="821"/>
      <c r="U45" s="821"/>
    </row>
    <row r="46" spans="1:21">
      <c r="A46" s="798"/>
      <c r="B46" s="798"/>
      <c r="C46" s="798"/>
      <c r="D46" s="798"/>
      <c r="E46" s="798"/>
      <c r="F46" s="798"/>
      <c r="G46" s="798"/>
      <c r="H46" s="798"/>
      <c r="I46" s="798"/>
      <c r="J46" s="798"/>
      <c r="K46" s="798"/>
      <c r="L46" s="798"/>
      <c r="M46" s="798"/>
      <c r="N46" s="798"/>
    </row>
    <row r="47" spans="1:21">
      <c r="A47" s="798"/>
      <c r="B47" s="798"/>
      <c r="C47" s="798"/>
      <c r="D47" s="798"/>
      <c r="E47" s="798"/>
      <c r="F47" s="798"/>
      <c r="G47" s="798"/>
      <c r="H47" s="798"/>
      <c r="I47" s="798"/>
      <c r="J47" s="798"/>
      <c r="K47" s="798"/>
      <c r="L47" s="798"/>
      <c r="M47" s="798"/>
      <c r="N47" s="798"/>
    </row>
    <row r="48" spans="1:21">
      <c r="A48" s="798"/>
      <c r="B48" s="798"/>
      <c r="C48" s="798"/>
      <c r="D48" s="798"/>
      <c r="E48" s="798"/>
      <c r="F48" s="798"/>
      <c r="G48" s="798"/>
      <c r="H48" s="798"/>
      <c r="I48" s="798"/>
      <c r="J48" s="798"/>
      <c r="K48" s="798"/>
      <c r="L48" s="798"/>
      <c r="M48" s="798"/>
      <c r="N48" s="798"/>
    </row>
    <row r="49" spans="1:22">
      <c r="A49" s="798"/>
      <c r="B49" s="798"/>
      <c r="C49" s="798"/>
      <c r="D49" s="798"/>
      <c r="E49" s="798"/>
      <c r="F49" s="798"/>
      <c r="G49" s="798"/>
      <c r="H49" s="798"/>
      <c r="I49" s="798"/>
      <c r="J49" s="798"/>
      <c r="K49" s="798"/>
      <c r="L49" s="798"/>
      <c r="M49" s="798"/>
      <c r="N49" s="798"/>
      <c r="V49" s="821"/>
    </row>
    <row r="50" spans="1:22">
      <c r="A50" s="798"/>
      <c r="B50" s="798"/>
      <c r="C50" s="798"/>
      <c r="D50" s="798"/>
      <c r="E50" s="798"/>
      <c r="F50" s="798"/>
      <c r="G50" s="798"/>
      <c r="H50" s="798"/>
      <c r="I50" s="798"/>
      <c r="J50" s="798"/>
      <c r="K50" s="798"/>
      <c r="L50" s="798"/>
      <c r="M50" s="798"/>
      <c r="N50" s="798"/>
    </row>
    <row r="51" spans="1:22">
      <c r="A51" s="798"/>
      <c r="B51" s="798"/>
      <c r="C51" s="798"/>
      <c r="D51" s="798"/>
      <c r="E51" s="798"/>
      <c r="F51" s="798"/>
      <c r="G51" s="798"/>
      <c r="H51" s="798"/>
      <c r="I51" s="798"/>
      <c r="J51" s="798"/>
      <c r="K51" s="798"/>
      <c r="L51" s="798"/>
      <c r="M51" s="798"/>
      <c r="N51" s="798"/>
    </row>
    <row r="52" spans="1:22">
      <c r="A52" s="798"/>
      <c r="B52" s="798"/>
      <c r="C52" s="798"/>
      <c r="D52" s="798"/>
      <c r="E52" s="798"/>
      <c r="F52" s="798"/>
      <c r="G52" s="798"/>
      <c r="H52" s="798"/>
      <c r="I52" s="798"/>
      <c r="J52" s="798"/>
      <c r="K52" s="798"/>
      <c r="L52" s="798"/>
      <c r="M52" s="798"/>
      <c r="N52" s="798"/>
    </row>
    <row r="53" spans="1:22">
      <c r="A53" s="798"/>
      <c r="B53" s="798"/>
      <c r="C53" s="798"/>
      <c r="D53" s="798"/>
      <c r="E53" s="798"/>
      <c r="F53" s="798"/>
      <c r="G53" s="798"/>
      <c r="H53" s="798"/>
      <c r="I53" s="798"/>
      <c r="J53" s="798"/>
      <c r="K53" s="798"/>
      <c r="L53" s="798"/>
      <c r="M53" s="798"/>
      <c r="N53" s="798"/>
    </row>
    <row r="54" spans="1:22">
      <c r="A54" s="798"/>
      <c r="B54" s="798"/>
      <c r="C54" s="798"/>
      <c r="D54" s="798"/>
      <c r="E54" s="798"/>
      <c r="F54" s="798"/>
      <c r="G54" s="798"/>
      <c r="H54" s="798"/>
      <c r="I54" s="798"/>
      <c r="J54" s="798"/>
      <c r="K54" s="798"/>
      <c r="L54" s="798"/>
      <c r="M54" s="798"/>
      <c r="N54" s="798"/>
    </row>
    <row r="55" spans="1:22">
      <c r="A55" s="798"/>
      <c r="B55" s="798"/>
      <c r="C55" s="798"/>
      <c r="D55" s="798"/>
      <c r="E55" s="798"/>
      <c r="F55" s="798"/>
      <c r="G55" s="798"/>
      <c r="H55" s="798"/>
      <c r="I55" s="798"/>
      <c r="J55" s="798"/>
      <c r="K55" s="798"/>
      <c r="L55" s="798"/>
      <c r="M55" s="798"/>
      <c r="N55" s="798"/>
    </row>
    <row r="56" spans="1:22">
      <c r="A56" s="798"/>
      <c r="B56" s="798"/>
      <c r="C56" s="798"/>
      <c r="D56" s="798"/>
      <c r="E56" s="798"/>
      <c r="F56" s="798"/>
      <c r="G56" s="798"/>
      <c r="H56" s="798"/>
      <c r="I56" s="798"/>
      <c r="J56" s="798"/>
      <c r="K56" s="798"/>
      <c r="L56" s="798"/>
      <c r="M56" s="798"/>
      <c r="N56" s="798"/>
    </row>
    <row r="57" spans="1:22">
      <c r="A57" s="798"/>
      <c r="B57" s="798"/>
      <c r="C57" s="798"/>
      <c r="D57" s="798"/>
      <c r="E57" s="798"/>
      <c r="F57" s="798"/>
      <c r="G57" s="798"/>
      <c r="H57" s="798"/>
      <c r="I57" s="798"/>
      <c r="J57" s="798"/>
      <c r="K57" s="798"/>
      <c r="L57" s="798"/>
      <c r="M57" s="798"/>
      <c r="N57" s="798"/>
    </row>
    <row r="58" spans="1:22">
      <c r="A58" s="798"/>
      <c r="B58" s="798"/>
      <c r="C58" s="798"/>
      <c r="D58" s="798"/>
      <c r="E58" s="798"/>
      <c r="F58" s="798"/>
      <c r="G58" s="798"/>
      <c r="H58" s="798"/>
      <c r="I58" s="798"/>
      <c r="J58" s="798"/>
      <c r="K58" s="798"/>
      <c r="L58" s="798"/>
      <c r="M58" s="798"/>
      <c r="N58" s="798"/>
    </row>
    <row r="59" spans="1:22">
      <c r="A59" s="798"/>
      <c r="B59" s="798"/>
      <c r="C59" s="798"/>
      <c r="D59" s="798"/>
      <c r="E59" s="798"/>
      <c r="F59" s="798"/>
      <c r="G59" s="798"/>
      <c r="H59" s="798"/>
      <c r="I59" s="798"/>
      <c r="J59" s="798"/>
      <c r="K59" s="798"/>
      <c r="L59" s="798"/>
      <c r="M59" s="798"/>
      <c r="N59" s="798"/>
    </row>
    <row r="60" spans="1:22">
      <c r="A60" s="798"/>
      <c r="B60" s="798"/>
      <c r="C60" s="798"/>
      <c r="D60" s="798"/>
      <c r="E60" s="798"/>
      <c r="F60" s="798"/>
      <c r="G60" s="798"/>
      <c r="H60" s="798"/>
      <c r="I60" s="798"/>
      <c r="J60" s="798"/>
      <c r="K60" s="798"/>
      <c r="L60" s="798"/>
      <c r="M60" s="798"/>
      <c r="N60" s="798"/>
    </row>
    <row r="61" spans="1:22">
      <c r="A61" s="798"/>
      <c r="B61" s="798"/>
      <c r="C61" s="798"/>
      <c r="D61" s="798"/>
      <c r="E61" s="798"/>
      <c r="F61" s="798"/>
      <c r="G61" s="798"/>
      <c r="H61" s="798"/>
      <c r="I61" s="798"/>
      <c r="J61" s="798"/>
      <c r="K61" s="798"/>
      <c r="L61" s="798"/>
      <c r="M61" s="798"/>
      <c r="N61" s="798"/>
    </row>
    <row r="62" spans="1:22">
      <c r="A62" s="798"/>
      <c r="B62" s="798"/>
      <c r="C62" s="798"/>
      <c r="D62" s="798"/>
      <c r="E62" s="798"/>
      <c r="F62" s="798"/>
      <c r="G62" s="798"/>
      <c r="H62" s="798"/>
      <c r="I62" s="798"/>
      <c r="J62" s="798"/>
      <c r="K62" s="798"/>
      <c r="L62" s="798"/>
      <c r="M62" s="798"/>
      <c r="N62" s="798"/>
    </row>
    <row r="63" spans="1:22">
      <c r="A63" s="798"/>
      <c r="B63" s="798"/>
      <c r="C63" s="798"/>
      <c r="D63" s="798"/>
      <c r="E63" s="798"/>
      <c r="F63" s="798"/>
      <c r="G63" s="798"/>
      <c r="H63" s="798"/>
      <c r="I63" s="798"/>
      <c r="J63" s="798"/>
      <c r="K63" s="798"/>
      <c r="L63" s="798"/>
      <c r="M63" s="798"/>
      <c r="N63" s="798"/>
    </row>
    <row r="64" spans="1:22">
      <c r="A64" s="798"/>
      <c r="B64" s="798"/>
      <c r="C64" s="798"/>
      <c r="D64" s="798"/>
      <c r="E64" s="798"/>
      <c r="F64" s="798"/>
      <c r="G64" s="798"/>
      <c r="H64" s="798"/>
      <c r="I64" s="798"/>
      <c r="J64" s="798"/>
      <c r="K64" s="798"/>
      <c r="L64" s="798"/>
      <c r="M64" s="798"/>
      <c r="N64" s="798"/>
    </row>
    <row r="65" spans="1:14">
      <c r="A65" s="798"/>
      <c r="B65" s="798"/>
      <c r="C65" s="798"/>
      <c r="D65" s="798"/>
      <c r="E65" s="798"/>
      <c r="F65" s="798"/>
      <c r="G65" s="798"/>
      <c r="H65" s="798"/>
      <c r="I65" s="798"/>
      <c r="J65" s="798"/>
      <c r="K65" s="798"/>
      <c r="L65" s="798"/>
      <c r="M65" s="798"/>
      <c r="N65" s="798"/>
    </row>
    <row r="66" spans="1:14">
      <c r="A66" s="798"/>
      <c r="B66" s="798"/>
      <c r="C66" s="798"/>
      <c r="D66" s="798"/>
      <c r="E66" s="798"/>
      <c r="F66" s="798"/>
      <c r="G66" s="798"/>
      <c r="H66" s="798"/>
      <c r="I66" s="798"/>
      <c r="J66" s="798"/>
      <c r="K66" s="798"/>
      <c r="L66" s="798"/>
      <c r="M66" s="798"/>
      <c r="N66" s="798"/>
    </row>
    <row r="67" spans="1:14">
      <c r="A67" s="798"/>
      <c r="B67" s="798"/>
      <c r="C67" s="798"/>
      <c r="D67" s="798"/>
      <c r="E67" s="798"/>
      <c r="F67" s="798"/>
      <c r="G67" s="798"/>
      <c r="H67" s="798"/>
      <c r="I67" s="798"/>
      <c r="J67" s="798"/>
      <c r="K67" s="798"/>
      <c r="L67" s="798"/>
      <c r="M67" s="798"/>
      <c r="N67" s="798"/>
    </row>
    <row r="68" spans="1:14">
      <c r="A68" s="798"/>
      <c r="B68" s="798"/>
      <c r="C68" s="798"/>
      <c r="D68" s="798"/>
      <c r="E68" s="798"/>
      <c r="F68" s="798"/>
      <c r="G68" s="798"/>
      <c r="H68" s="798"/>
      <c r="I68" s="798"/>
      <c r="J68" s="798"/>
      <c r="K68" s="798"/>
      <c r="L68" s="798"/>
      <c r="M68" s="798"/>
      <c r="N68" s="798"/>
    </row>
    <row r="69" spans="1:14">
      <c r="A69" s="798"/>
      <c r="B69" s="798"/>
      <c r="C69" s="798"/>
      <c r="D69" s="798"/>
      <c r="E69" s="798"/>
      <c r="F69" s="798"/>
      <c r="G69" s="798"/>
      <c r="H69" s="798"/>
      <c r="I69" s="798"/>
      <c r="J69" s="798"/>
      <c r="K69" s="798"/>
      <c r="L69" s="798"/>
      <c r="M69" s="798"/>
      <c r="N69" s="798"/>
    </row>
    <row r="70" spans="1:14">
      <c r="A70" s="798"/>
      <c r="B70" s="798"/>
      <c r="C70" s="798"/>
      <c r="D70" s="798"/>
      <c r="E70" s="798"/>
      <c r="F70" s="798"/>
      <c r="G70" s="798"/>
      <c r="H70" s="798"/>
      <c r="I70" s="798"/>
      <c r="J70" s="798"/>
      <c r="K70" s="798"/>
      <c r="L70" s="798"/>
      <c r="M70" s="798"/>
      <c r="N70" s="798"/>
    </row>
    <row r="71" spans="1:14">
      <c r="A71" s="798"/>
      <c r="B71" s="798"/>
      <c r="C71" s="798"/>
      <c r="D71" s="798"/>
      <c r="E71" s="798"/>
      <c r="F71" s="798"/>
      <c r="G71" s="798"/>
      <c r="H71" s="798"/>
      <c r="I71" s="798"/>
      <c r="J71" s="798"/>
      <c r="K71" s="798"/>
      <c r="L71" s="798"/>
      <c r="M71" s="798"/>
      <c r="N71" s="798"/>
    </row>
    <row r="72" spans="1:14">
      <c r="A72" s="798"/>
      <c r="B72" s="798"/>
      <c r="C72" s="798"/>
      <c r="D72" s="798"/>
      <c r="E72" s="798"/>
      <c r="F72" s="798"/>
      <c r="G72" s="798"/>
      <c r="H72" s="798"/>
      <c r="I72" s="798"/>
      <c r="J72" s="798"/>
      <c r="K72" s="798"/>
      <c r="L72" s="798"/>
      <c r="M72" s="798"/>
      <c r="N72" s="798"/>
    </row>
    <row r="73" spans="1:14">
      <c r="A73" s="798"/>
      <c r="B73" s="798"/>
      <c r="C73" s="798"/>
      <c r="D73" s="798"/>
      <c r="E73" s="798"/>
      <c r="F73" s="798"/>
      <c r="G73" s="798"/>
      <c r="H73" s="798"/>
      <c r="I73" s="798"/>
      <c r="J73" s="798"/>
      <c r="K73" s="798"/>
      <c r="L73" s="798"/>
      <c r="M73" s="798"/>
      <c r="N73" s="798"/>
    </row>
    <row r="74" spans="1:14">
      <c r="A74" s="798"/>
      <c r="B74" s="798"/>
      <c r="C74" s="798"/>
      <c r="D74" s="798"/>
      <c r="E74" s="798"/>
      <c r="F74" s="798"/>
      <c r="G74" s="798"/>
      <c r="H74" s="798"/>
      <c r="I74" s="798"/>
      <c r="J74" s="798"/>
      <c r="K74" s="798"/>
      <c r="L74" s="798"/>
      <c r="M74" s="798"/>
      <c r="N74" s="798"/>
    </row>
    <row r="75" spans="1:14">
      <c r="A75" s="798"/>
      <c r="B75" s="798"/>
      <c r="C75" s="798"/>
      <c r="D75" s="798"/>
      <c r="E75" s="798"/>
      <c r="F75" s="798"/>
      <c r="G75" s="798"/>
      <c r="H75" s="798"/>
      <c r="I75" s="798"/>
      <c r="J75" s="798"/>
      <c r="K75" s="798"/>
      <c r="L75" s="798"/>
      <c r="M75" s="798"/>
      <c r="N75" s="798"/>
    </row>
    <row r="76" spans="1:14">
      <c r="A76" s="798"/>
      <c r="B76" s="798"/>
      <c r="C76" s="798"/>
      <c r="D76" s="798"/>
      <c r="E76" s="798"/>
      <c r="F76" s="798"/>
      <c r="G76" s="798"/>
      <c r="H76" s="798"/>
      <c r="I76" s="798"/>
      <c r="J76" s="798"/>
      <c r="K76" s="798"/>
      <c r="L76" s="798"/>
      <c r="M76" s="798"/>
      <c r="N76" s="798"/>
    </row>
    <row r="77" spans="1:14">
      <c r="A77" s="798"/>
      <c r="B77" s="798"/>
      <c r="C77" s="798"/>
      <c r="D77" s="798"/>
      <c r="E77" s="798"/>
      <c r="F77" s="798"/>
      <c r="G77" s="798"/>
      <c r="H77" s="798"/>
      <c r="I77" s="798"/>
      <c r="J77" s="798"/>
      <c r="K77" s="798"/>
      <c r="L77" s="798"/>
      <c r="M77" s="798"/>
      <c r="N77" s="798"/>
    </row>
    <row r="78" spans="1:14">
      <c r="A78" s="798"/>
      <c r="B78" s="798"/>
      <c r="C78" s="798"/>
      <c r="D78" s="798"/>
      <c r="E78" s="798"/>
      <c r="F78" s="798"/>
      <c r="G78" s="798"/>
      <c r="H78" s="798"/>
      <c r="I78" s="798"/>
      <c r="J78" s="798"/>
      <c r="K78" s="798"/>
      <c r="L78" s="798"/>
      <c r="M78" s="798"/>
      <c r="N78" s="798"/>
    </row>
    <row r="79" spans="1:14">
      <c r="A79" s="798"/>
      <c r="B79" s="798"/>
      <c r="C79" s="798"/>
      <c r="D79" s="798"/>
      <c r="E79" s="798"/>
      <c r="F79" s="798"/>
      <c r="G79" s="798"/>
      <c r="H79" s="798"/>
      <c r="I79" s="798"/>
      <c r="J79" s="798"/>
      <c r="K79" s="798"/>
      <c r="L79" s="798"/>
      <c r="M79" s="798"/>
      <c r="N79" s="798"/>
    </row>
    <row r="80" spans="1:14">
      <c r="A80" s="798"/>
      <c r="B80" s="798"/>
      <c r="C80" s="798"/>
      <c r="D80" s="798"/>
      <c r="E80" s="798"/>
      <c r="F80" s="798"/>
      <c r="G80" s="798"/>
      <c r="H80" s="798"/>
      <c r="I80" s="798"/>
      <c r="J80" s="798"/>
      <c r="K80" s="798"/>
      <c r="L80" s="798"/>
      <c r="M80" s="798"/>
      <c r="N80" s="798"/>
    </row>
    <row r="81" spans="1:14">
      <c r="A81" s="798"/>
      <c r="B81" s="798"/>
      <c r="C81" s="798"/>
      <c r="D81" s="798"/>
      <c r="E81" s="798"/>
      <c r="F81" s="798"/>
      <c r="G81" s="798"/>
      <c r="H81" s="798"/>
      <c r="I81" s="798"/>
      <c r="J81" s="798"/>
      <c r="K81" s="798"/>
      <c r="L81" s="798"/>
      <c r="M81" s="798"/>
      <c r="N81" s="798"/>
    </row>
    <row r="82" spans="1:14">
      <c r="A82" s="798"/>
      <c r="B82" s="798"/>
      <c r="C82" s="798"/>
      <c r="D82" s="798"/>
      <c r="E82" s="798"/>
      <c r="F82" s="798"/>
      <c r="G82" s="798"/>
      <c r="H82" s="798"/>
      <c r="I82" s="798"/>
      <c r="J82" s="798"/>
      <c r="K82" s="798"/>
      <c r="L82" s="798"/>
      <c r="M82" s="798"/>
      <c r="N82" s="798"/>
    </row>
    <row r="83" spans="1:14">
      <c r="A83" s="798"/>
      <c r="B83" s="798"/>
      <c r="C83" s="798"/>
      <c r="D83" s="798"/>
      <c r="E83" s="798"/>
      <c r="F83" s="798"/>
      <c r="G83" s="798"/>
      <c r="H83" s="798"/>
      <c r="I83" s="798"/>
      <c r="J83" s="798"/>
      <c r="K83" s="798"/>
      <c r="L83" s="798"/>
      <c r="M83" s="798"/>
      <c r="N83" s="798"/>
    </row>
    <row r="84" spans="1:14">
      <c r="A84" s="798"/>
      <c r="B84" s="798"/>
      <c r="C84" s="798"/>
      <c r="D84" s="798"/>
      <c r="E84" s="798"/>
      <c r="F84" s="798"/>
      <c r="G84" s="798"/>
      <c r="H84" s="798"/>
      <c r="I84" s="798"/>
      <c r="J84" s="798"/>
      <c r="K84" s="798"/>
      <c r="L84" s="798"/>
      <c r="M84" s="798"/>
      <c r="N84" s="798"/>
    </row>
    <row r="85" spans="1:14">
      <c r="A85" s="798"/>
      <c r="B85" s="798"/>
      <c r="C85" s="798"/>
      <c r="D85" s="798"/>
      <c r="E85" s="798"/>
      <c r="F85" s="798"/>
      <c r="G85" s="798"/>
      <c r="H85" s="798"/>
      <c r="I85" s="798"/>
      <c r="J85" s="798"/>
      <c r="K85" s="798"/>
      <c r="L85" s="798"/>
      <c r="M85" s="798"/>
      <c r="N85" s="798"/>
    </row>
    <row r="86" spans="1:14">
      <c r="A86" s="798"/>
      <c r="B86" s="798"/>
      <c r="C86" s="798"/>
      <c r="D86" s="798"/>
      <c r="E86" s="798"/>
      <c r="F86" s="798"/>
      <c r="G86" s="798"/>
      <c r="H86" s="798"/>
      <c r="I86" s="798"/>
      <c r="J86" s="798"/>
      <c r="K86" s="798"/>
      <c r="L86" s="798"/>
      <c r="M86" s="798"/>
      <c r="N86" s="798"/>
    </row>
    <row r="87" spans="1:14">
      <c r="A87" s="798"/>
      <c r="B87" s="798"/>
      <c r="C87" s="798"/>
      <c r="D87" s="798"/>
      <c r="E87" s="798"/>
      <c r="F87" s="798"/>
      <c r="G87" s="798"/>
      <c r="H87" s="798"/>
      <c r="I87" s="798"/>
      <c r="J87" s="798"/>
      <c r="K87" s="798"/>
      <c r="L87" s="798"/>
      <c r="M87" s="798"/>
      <c r="N87" s="798"/>
    </row>
    <row r="88" spans="1:14">
      <c r="A88" s="798"/>
      <c r="B88" s="798"/>
      <c r="C88" s="798"/>
      <c r="D88" s="798"/>
      <c r="E88" s="798"/>
      <c r="F88" s="798"/>
      <c r="G88" s="798"/>
      <c r="H88" s="798"/>
      <c r="I88" s="798"/>
      <c r="J88" s="798"/>
      <c r="K88" s="798"/>
      <c r="L88" s="798"/>
      <c r="M88" s="798"/>
      <c r="N88" s="798"/>
    </row>
    <row r="89" spans="1:14">
      <c r="A89" s="798"/>
      <c r="B89" s="798"/>
      <c r="C89" s="798"/>
      <c r="D89" s="798"/>
      <c r="E89" s="798"/>
      <c r="F89" s="798"/>
      <c r="G89" s="798"/>
      <c r="H89" s="798"/>
      <c r="I89" s="798"/>
      <c r="J89" s="798"/>
      <c r="K89" s="798"/>
      <c r="L89" s="798"/>
      <c r="M89" s="798"/>
      <c r="N89" s="798"/>
    </row>
    <row r="90" spans="1:14">
      <c r="A90" s="798"/>
      <c r="B90" s="798"/>
      <c r="C90" s="798"/>
      <c r="D90" s="798"/>
      <c r="E90" s="798"/>
      <c r="F90" s="798"/>
      <c r="G90" s="798"/>
      <c r="H90" s="798"/>
      <c r="I90" s="798"/>
      <c r="J90" s="798"/>
      <c r="K90" s="798"/>
      <c r="L90" s="798"/>
      <c r="M90" s="798"/>
      <c r="N90" s="798"/>
    </row>
    <row r="91" spans="1:14">
      <c r="A91" s="798"/>
      <c r="B91" s="798"/>
      <c r="C91" s="798"/>
      <c r="D91" s="798"/>
      <c r="E91" s="798"/>
      <c r="F91" s="798"/>
      <c r="G91" s="798"/>
      <c r="H91" s="798"/>
      <c r="I91" s="798"/>
      <c r="J91" s="798"/>
      <c r="K91" s="798"/>
      <c r="L91" s="798"/>
      <c r="M91" s="798"/>
      <c r="N91" s="798"/>
    </row>
    <row r="92" spans="1:14">
      <c r="A92" s="798"/>
      <c r="B92" s="798"/>
      <c r="C92" s="798"/>
      <c r="D92" s="798"/>
      <c r="E92" s="798"/>
      <c r="F92" s="798"/>
      <c r="G92" s="798"/>
      <c r="H92" s="798"/>
      <c r="I92" s="798"/>
      <c r="J92" s="798"/>
      <c r="K92" s="798"/>
      <c r="L92" s="798"/>
      <c r="M92" s="798"/>
      <c r="N92" s="798"/>
    </row>
    <row r="93" spans="1:14">
      <c r="A93" s="798"/>
      <c r="B93" s="798"/>
      <c r="C93" s="798"/>
      <c r="D93" s="798"/>
      <c r="E93" s="798"/>
      <c r="F93" s="798"/>
      <c r="G93" s="798"/>
      <c r="H93" s="798"/>
      <c r="I93" s="798"/>
      <c r="J93" s="798"/>
      <c r="K93" s="798"/>
      <c r="L93" s="798"/>
      <c r="M93" s="798"/>
      <c r="N93" s="798"/>
    </row>
    <row r="94" spans="1:14">
      <c r="A94" s="798"/>
      <c r="B94" s="798"/>
      <c r="C94" s="798"/>
      <c r="D94" s="798"/>
      <c r="E94" s="798"/>
      <c r="F94" s="798"/>
      <c r="G94" s="798"/>
      <c r="H94" s="798"/>
      <c r="I94" s="798"/>
      <c r="J94" s="798"/>
      <c r="K94" s="798"/>
      <c r="L94" s="798"/>
      <c r="M94" s="798"/>
      <c r="N94" s="798"/>
    </row>
    <row r="95" spans="1:14">
      <c r="A95" s="798"/>
      <c r="B95" s="798"/>
      <c r="C95" s="798"/>
      <c r="D95" s="798"/>
      <c r="E95" s="798"/>
      <c r="F95" s="798"/>
      <c r="G95" s="798"/>
      <c r="H95" s="798"/>
      <c r="I95" s="798"/>
      <c r="J95" s="798"/>
      <c r="K95" s="798"/>
      <c r="L95" s="798"/>
      <c r="M95" s="798"/>
      <c r="N95" s="798"/>
    </row>
    <row r="96" spans="1:14">
      <c r="A96" s="798"/>
      <c r="B96" s="798"/>
      <c r="C96" s="798"/>
      <c r="D96" s="798"/>
      <c r="E96" s="798"/>
      <c r="F96" s="798"/>
      <c r="G96" s="798"/>
      <c r="H96" s="798"/>
      <c r="I96" s="798"/>
      <c r="J96" s="798"/>
      <c r="K96" s="798"/>
      <c r="L96" s="798"/>
      <c r="M96" s="798"/>
      <c r="N96" s="798"/>
    </row>
    <row r="97" spans="1:14">
      <c r="A97" s="798"/>
      <c r="B97" s="798"/>
      <c r="C97" s="798"/>
      <c r="D97" s="798"/>
      <c r="E97" s="798"/>
      <c r="F97" s="798"/>
      <c r="G97" s="798"/>
      <c r="H97" s="798"/>
      <c r="I97" s="798"/>
      <c r="J97" s="798"/>
      <c r="K97" s="798"/>
      <c r="L97" s="798"/>
      <c r="M97" s="798"/>
      <c r="N97" s="798"/>
    </row>
    <row r="98" spans="1:14">
      <c r="A98" s="798"/>
      <c r="B98" s="798"/>
      <c r="C98" s="798"/>
      <c r="D98" s="798"/>
      <c r="E98" s="798"/>
      <c r="F98" s="798"/>
      <c r="G98" s="798"/>
      <c r="H98" s="798"/>
      <c r="I98" s="798"/>
      <c r="J98" s="798"/>
      <c r="K98" s="798"/>
      <c r="L98" s="798"/>
      <c r="M98" s="798"/>
      <c r="N98" s="798"/>
    </row>
    <row r="99" spans="1:14">
      <c r="A99" s="798"/>
      <c r="B99" s="798"/>
      <c r="C99" s="798"/>
      <c r="D99" s="798"/>
      <c r="E99" s="798"/>
      <c r="F99" s="798"/>
      <c r="G99" s="798"/>
      <c r="H99" s="798"/>
      <c r="I99" s="798"/>
      <c r="J99" s="798"/>
      <c r="K99" s="798"/>
      <c r="L99" s="798"/>
      <c r="M99" s="798"/>
      <c r="N99" s="798"/>
    </row>
    <row r="100" spans="1:14">
      <c r="A100" s="798"/>
      <c r="B100" s="798"/>
      <c r="C100" s="798"/>
      <c r="D100" s="798"/>
      <c r="E100" s="798"/>
      <c r="F100" s="798"/>
      <c r="G100" s="798"/>
      <c r="H100" s="798"/>
      <c r="I100" s="798"/>
      <c r="J100" s="798"/>
      <c r="K100" s="798"/>
      <c r="L100" s="798"/>
      <c r="M100" s="798"/>
      <c r="N100" s="798"/>
    </row>
    <row r="101" spans="1:14">
      <c r="A101" s="798"/>
      <c r="B101" s="798"/>
      <c r="C101" s="798"/>
      <c r="D101" s="798"/>
      <c r="E101" s="798"/>
      <c r="F101" s="798"/>
      <c r="G101" s="798"/>
      <c r="H101" s="798"/>
      <c r="I101" s="798"/>
      <c r="J101" s="798"/>
      <c r="K101" s="798"/>
      <c r="L101" s="798"/>
      <c r="M101" s="798"/>
      <c r="N101" s="798"/>
    </row>
    <row r="102" spans="1:14">
      <c r="A102" s="798"/>
      <c r="B102" s="798"/>
      <c r="C102" s="798"/>
      <c r="D102" s="798"/>
      <c r="E102" s="798"/>
      <c r="F102" s="798"/>
      <c r="G102" s="798"/>
      <c r="H102" s="798"/>
      <c r="I102" s="798"/>
      <c r="J102" s="798"/>
      <c r="K102" s="798"/>
      <c r="L102" s="798"/>
      <c r="M102" s="798"/>
      <c r="N102" s="798"/>
    </row>
    <row r="103" spans="1:14">
      <c r="A103" s="798"/>
      <c r="B103" s="798"/>
      <c r="C103" s="798"/>
      <c r="D103" s="798"/>
      <c r="E103" s="798"/>
      <c r="F103" s="798"/>
      <c r="G103" s="798"/>
      <c r="H103" s="798"/>
      <c r="I103" s="798"/>
      <c r="J103" s="798"/>
      <c r="K103" s="798"/>
      <c r="L103" s="798"/>
      <c r="M103" s="798"/>
      <c r="N103" s="798"/>
    </row>
    <row r="104" spans="1:14">
      <c r="A104" s="798"/>
      <c r="B104" s="798"/>
      <c r="C104" s="798"/>
      <c r="D104" s="798"/>
      <c r="E104" s="798"/>
      <c r="F104" s="798"/>
      <c r="G104" s="798"/>
      <c r="H104" s="798"/>
      <c r="I104" s="798"/>
      <c r="J104" s="798"/>
      <c r="K104" s="798"/>
      <c r="L104" s="798"/>
      <c r="M104" s="798"/>
      <c r="N104" s="798"/>
    </row>
    <row r="105" spans="1:14">
      <c r="A105" s="798"/>
      <c r="B105" s="798"/>
      <c r="C105" s="798"/>
      <c r="D105" s="798"/>
      <c r="E105" s="798"/>
      <c r="F105" s="798"/>
      <c r="G105" s="798"/>
      <c r="H105" s="798"/>
      <c r="I105" s="798"/>
      <c r="J105" s="798"/>
      <c r="K105" s="798"/>
      <c r="L105" s="798"/>
      <c r="M105" s="798"/>
      <c r="N105" s="798"/>
    </row>
    <row r="106" spans="1:14">
      <c r="A106" s="798"/>
      <c r="B106" s="798"/>
      <c r="C106" s="798"/>
      <c r="D106" s="798"/>
      <c r="E106" s="798"/>
      <c r="F106" s="798"/>
      <c r="G106" s="798"/>
      <c r="H106" s="798"/>
      <c r="I106" s="798"/>
      <c r="J106" s="798"/>
      <c r="K106" s="798"/>
      <c r="L106" s="798"/>
      <c r="M106" s="798"/>
      <c r="N106" s="798"/>
    </row>
    <row r="107" spans="1:14">
      <c r="A107" s="798"/>
      <c r="B107" s="798"/>
      <c r="C107" s="798"/>
      <c r="D107" s="798"/>
      <c r="E107" s="798"/>
      <c r="F107" s="798"/>
      <c r="G107" s="798"/>
      <c r="H107" s="798"/>
      <c r="I107" s="798"/>
      <c r="J107" s="798"/>
      <c r="K107" s="798"/>
      <c r="L107" s="798"/>
      <c r="M107" s="798"/>
      <c r="N107" s="798"/>
    </row>
    <row r="108" spans="1:14">
      <c r="A108" s="798"/>
      <c r="B108" s="798"/>
      <c r="C108" s="798"/>
      <c r="D108" s="798"/>
      <c r="E108" s="798"/>
      <c r="F108" s="798"/>
      <c r="G108" s="798"/>
      <c r="H108" s="798"/>
      <c r="I108" s="798"/>
      <c r="J108" s="798"/>
      <c r="K108" s="798"/>
      <c r="L108" s="798"/>
      <c r="M108" s="798"/>
      <c r="N108" s="798"/>
    </row>
    <row r="109" spans="1:14">
      <c r="A109" s="798"/>
      <c r="B109" s="798"/>
      <c r="C109" s="798"/>
      <c r="D109" s="798"/>
      <c r="E109" s="798"/>
      <c r="F109" s="798"/>
      <c r="G109" s="798"/>
      <c r="H109" s="798"/>
      <c r="I109" s="798"/>
      <c r="J109" s="798"/>
      <c r="K109" s="798"/>
      <c r="L109" s="798"/>
      <c r="M109" s="798"/>
      <c r="N109" s="798"/>
    </row>
    <row r="110" spans="1:14">
      <c r="A110" s="798"/>
      <c r="B110" s="798"/>
      <c r="C110" s="798"/>
      <c r="D110" s="798"/>
      <c r="E110" s="798"/>
      <c r="F110" s="798"/>
      <c r="G110" s="798"/>
      <c r="H110" s="798"/>
      <c r="I110" s="798"/>
      <c r="J110" s="798"/>
      <c r="K110" s="798"/>
      <c r="L110" s="798"/>
      <c r="M110" s="798"/>
      <c r="N110" s="798"/>
    </row>
    <row r="111" spans="1:14">
      <c r="A111" s="798"/>
      <c r="B111" s="798"/>
      <c r="C111" s="798"/>
      <c r="D111" s="798"/>
      <c r="E111" s="798"/>
      <c r="F111" s="798"/>
      <c r="G111" s="798"/>
      <c r="H111" s="798"/>
      <c r="I111" s="798"/>
      <c r="J111" s="798"/>
      <c r="K111" s="798"/>
      <c r="L111" s="798"/>
      <c r="M111" s="798"/>
      <c r="N111" s="798"/>
    </row>
    <row r="112" spans="1:14">
      <c r="A112" s="798"/>
      <c r="B112" s="798"/>
      <c r="C112" s="798"/>
      <c r="D112" s="798"/>
      <c r="E112" s="798"/>
      <c r="F112" s="798"/>
      <c r="G112" s="798"/>
      <c r="H112" s="798"/>
      <c r="I112" s="798"/>
      <c r="J112" s="798"/>
      <c r="K112" s="798"/>
      <c r="L112" s="798"/>
      <c r="M112" s="798"/>
      <c r="N112" s="798"/>
    </row>
    <row r="113" spans="1:14">
      <c r="A113" s="798"/>
      <c r="B113" s="798"/>
      <c r="C113" s="798"/>
      <c r="D113" s="798"/>
      <c r="E113" s="798"/>
      <c r="F113" s="798"/>
      <c r="G113" s="798"/>
      <c r="H113" s="798"/>
      <c r="I113" s="798"/>
      <c r="J113" s="798"/>
      <c r="K113" s="798"/>
      <c r="L113" s="798"/>
      <c r="M113" s="798"/>
      <c r="N113" s="798"/>
    </row>
    <row r="114" spans="1:14">
      <c r="A114" s="798"/>
      <c r="B114" s="798"/>
      <c r="C114" s="798"/>
      <c r="D114" s="798"/>
      <c r="E114" s="798"/>
      <c r="F114" s="798"/>
      <c r="G114" s="798"/>
      <c r="H114" s="798"/>
      <c r="I114" s="798"/>
      <c r="J114" s="798"/>
      <c r="K114" s="798"/>
      <c r="L114" s="798"/>
      <c r="M114" s="798"/>
      <c r="N114" s="798"/>
    </row>
    <row r="115" spans="1:14">
      <c r="A115" s="798"/>
      <c r="B115" s="798"/>
      <c r="C115" s="798"/>
      <c r="D115" s="798"/>
      <c r="E115" s="798"/>
      <c r="F115" s="798"/>
      <c r="G115" s="798"/>
      <c r="H115" s="798"/>
      <c r="I115" s="798"/>
      <c r="J115" s="798"/>
      <c r="K115" s="798"/>
      <c r="L115" s="798"/>
      <c r="M115" s="798"/>
      <c r="N115" s="798"/>
    </row>
    <row r="116" spans="1:14">
      <c r="A116" s="798"/>
      <c r="B116" s="798"/>
      <c r="C116" s="798"/>
      <c r="D116" s="798"/>
      <c r="E116" s="798"/>
      <c r="F116" s="798"/>
      <c r="G116" s="798"/>
      <c r="H116" s="798"/>
      <c r="I116" s="798"/>
      <c r="J116" s="798"/>
      <c r="K116" s="798"/>
      <c r="L116" s="798"/>
      <c r="M116" s="798"/>
      <c r="N116" s="798"/>
    </row>
    <row r="117" spans="1:14">
      <c r="A117" s="798"/>
      <c r="B117" s="798"/>
      <c r="C117" s="798"/>
      <c r="D117" s="798"/>
      <c r="E117" s="798"/>
      <c r="F117" s="798"/>
      <c r="G117" s="798"/>
      <c r="H117" s="798"/>
      <c r="I117" s="798"/>
      <c r="J117" s="798"/>
      <c r="K117" s="798"/>
      <c r="L117" s="798"/>
      <c r="M117" s="798"/>
      <c r="N117" s="798"/>
    </row>
    <row r="118" spans="1:14">
      <c r="A118" s="798"/>
      <c r="B118" s="798"/>
      <c r="C118" s="798"/>
      <c r="D118" s="798"/>
      <c r="E118" s="798"/>
      <c r="F118" s="798"/>
      <c r="G118" s="798"/>
      <c r="H118" s="798"/>
      <c r="I118" s="798"/>
      <c r="J118" s="798"/>
      <c r="K118" s="798"/>
      <c r="L118" s="798"/>
      <c r="M118" s="798"/>
      <c r="N118" s="798"/>
    </row>
    <row r="119" spans="1:14">
      <c r="A119" s="798"/>
      <c r="B119" s="798"/>
      <c r="C119" s="798"/>
      <c r="D119" s="798"/>
      <c r="E119" s="798"/>
      <c r="F119" s="798"/>
      <c r="G119" s="798"/>
      <c r="H119" s="798"/>
      <c r="I119" s="798"/>
      <c r="J119" s="798"/>
      <c r="K119" s="798"/>
      <c r="L119" s="798"/>
      <c r="M119" s="798"/>
      <c r="N119" s="798"/>
    </row>
    <row r="120" spans="1:14">
      <c r="A120" s="798"/>
      <c r="B120" s="798"/>
      <c r="C120" s="798"/>
      <c r="D120" s="798"/>
      <c r="E120" s="798"/>
      <c r="F120" s="798"/>
      <c r="G120" s="798"/>
      <c r="H120" s="798"/>
      <c r="I120" s="798"/>
      <c r="J120" s="798"/>
      <c r="K120" s="798"/>
      <c r="L120" s="798"/>
      <c r="M120" s="798"/>
      <c r="N120" s="798"/>
    </row>
    <row r="121" spans="1:14">
      <c r="A121" s="798"/>
      <c r="B121" s="798"/>
      <c r="C121" s="798"/>
      <c r="D121" s="798"/>
      <c r="E121" s="798"/>
      <c r="F121" s="798"/>
      <c r="G121" s="798"/>
      <c r="H121" s="798"/>
      <c r="I121" s="798"/>
      <c r="J121" s="798"/>
      <c r="K121" s="798"/>
      <c r="L121" s="798"/>
      <c r="M121" s="798"/>
      <c r="N121" s="798"/>
    </row>
    <row r="122" spans="1:14">
      <c r="A122" s="798"/>
      <c r="B122" s="798"/>
      <c r="C122" s="798"/>
      <c r="D122" s="798"/>
      <c r="E122" s="798"/>
      <c r="F122" s="798"/>
      <c r="G122" s="798"/>
      <c r="H122" s="798"/>
      <c r="I122" s="798"/>
      <c r="J122" s="798"/>
      <c r="K122" s="798"/>
      <c r="L122" s="798"/>
      <c r="M122" s="798"/>
      <c r="N122" s="798"/>
    </row>
    <row r="123" spans="1:14">
      <c r="A123" s="798"/>
      <c r="B123" s="798"/>
      <c r="C123" s="798"/>
      <c r="D123" s="798"/>
      <c r="E123" s="798"/>
      <c r="F123" s="798"/>
      <c r="G123" s="798"/>
      <c r="H123" s="798"/>
      <c r="I123" s="798"/>
      <c r="J123" s="798"/>
      <c r="K123" s="798"/>
      <c r="L123" s="798"/>
      <c r="M123" s="798"/>
      <c r="N123" s="798"/>
    </row>
    <row r="124" spans="1:14">
      <c r="A124" s="798"/>
      <c r="B124" s="798"/>
      <c r="C124" s="798"/>
      <c r="D124" s="798"/>
      <c r="E124" s="798"/>
      <c r="F124" s="798"/>
      <c r="G124" s="798"/>
      <c r="H124" s="798"/>
      <c r="I124" s="798"/>
      <c r="J124" s="798"/>
      <c r="K124" s="798"/>
      <c r="L124" s="798"/>
      <c r="M124" s="798"/>
      <c r="N124" s="798"/>
    </row>
    <row r="125" spans="1:14">
      <c r="A125" s="798"/>
      <c r="B125" s="798"/>
      <c r="C125" s="798"/>
      <c r="D125" s="798"/>
      <c r="E125" s="798"/>
      <c r="F125" s="798"/>
      <c r="G125" s="798"/>
      <c r="H125" s="798"/>
      <c r="I125" s="798"/>
      <c r="J125" s="798"/>
      <c r="K125" s="798"/>
      <c r="L125" s="798"/>
      <c r="M125" s="798"/>
      <c r="N125" s="798"/>
    </row>
    <row r="126" spans="1:14">
      <c r="A126" s="798"/>
      <c r="B126" s="798"/>
      <c r="C126" s="798"/>
      <c r="D126" s="798"/>
      <c r="E126" s="798"/>
      <c r="F126" s="798"/>
      <c r="G126" s="798"/>
      <c r="H126" s="798"/>
      <c r="I126" s="798"/>
      <c r="J126" s="798"/>
      <c r="K126" s="798"/>
      <c r="L126" s="798"/>
      <c r="M126" s="798"/>
      <c r="N126" s="798"/>
    </row>
    <row r="127" spans="1:14">
      <c r="A127" s="798"/>
      <c r="B127" s="798"/>
      <c r="C127" s="798"/>
      <c r="D127" s="798"/>
      <c r="E127" s="798"/>
      <c r="F127" s="798"/>
      <c r="G127" s="798"/>
      <c r="H127" s="798"/>
      <c r="I127" s="798"/>
      <c r="J127" s="798"/>
      <c r="K127" s="798"/>
      <c r="L127" s="798"/>
      <c r="M127" s="798"/>
      <c r="N127" s="798"/>
    </row>
    <row r="128" spans="1:14">
      <c r="A128" s="798"/>
      <c r="B128" s="798"/>
      <c r="C128" s="798"/>
      <c r="D128" s="798"/>
      <c r="E128" s="798"/>
      <c r="F128" s="798"/>
      <c r="G128" s="798"/>
      <c r="H128" s="798"/>
      <c r="I128" s="798"/>
      <c r="J128" s="798"/>
      <c r="K128" s="798"/>
      <c r="L128" s="798"/>
      <c r="M128" s="798"/>
      <c r="N128" s="798"/>
    </row>
    <row r="129" spans="1:14">
      <c r="A129" s="798"/>
      <c r="B129" s="798"/>
      <c r="C129" s="798"/>
      <c r="D129" s="798"/>
      <c r="E129" s="798"/>
      <c r="F129" s="798"/>
      <c r="G129" s="798"/>
      <c r="H129" s="798"/>
      <c r="I129" s="798"/>
      <c r="J129" s="798"/>
      <c r="K129" s="798"/>
      <c r="L129" s="798"/>
      <c r="M129" s="798"/>
      <c r="N129" s="798"/>
    </row>
    <row r="130" spans="1:14">
      <c r="A130" s="798"/>
      <c r="B130" s="798"/>
      <c r="C130" s="798"/>
      <c r="D130" s="798"/>
      <c r="E130" s="798"/>
      <c r="F130" s="798"/>
      <c r="G130" s="798"/>
      <c r="H130" s="798"/>
      <c r="I130" s="798"/>
      <c r="J130" s="798"/>
      <c r="K130" s="798"/>
      <c r="L130" s="798"/>
      <c r="M130" s="798"/>
      <c r="N130" s="798"/>
    </row>
    <row r="131" spans="1:14">
      <c r="A131" s="798"/>
      <c r="B131" s="798"/>
      <c r="C131" s="798"/>
      <c r="D131" s="798"/>
      <c r="E131" s="798"/>
      <c r="F131" s="798"/>
      <c r="G131" s="798"/>
      <c r="H131" s="798"/>
      <c r="I131" s="798"/>
      <c r="J131" s="798"/>
      <c r="K131" s="798"/>
      <c r="L131" s="798"/>
      <c r="M131" s="798"/>
      <c r="N131" s="798"/>
    </row>
    <row r="132" spans="1:14">
      <c r="A132" s="798"/>
      <c r="B132" s="798"/>
      <c r="C132" s="798"/>
      <c r="D132" s="798"/>
      <c r="E132" s="798"/>
      <c r="F132" s="798"/>
      <c r="G132" s="798"/>
      <c r="H132" s="798"/>
      <c r="I132" s="798"/>
      <c r="J132" s="798"/>
      <c r="K132" s="798"/>
      <c r="L132" s="798"/>
      <c r="M132" s="798"/>
      <c r="N132" s="798"/>
    </row>
    <row r="133" spans="1:14">
      <c r="A133" s="798"/>
      <c r="B133" s="798"/>
      <c r="C133" s="798"/>
      <c r="D133" s="798"/>
      <c r="E133" s="798"/>
      <c r="F133" s="798"/>
      <c r="G133" s="798"/>
      <c r="H133" s="798"/>
      <c r="I133" s="798"/>
      <c r="J133" s="798"/>
      <c r="K133" s="798"/>
      <c r="L133" s="798"/>
      <c r="M133" s="798"/>
      <c r="N133" s="798"/>
    </row>
    <row r="134" spans="1:14">
      <c r="A134" s="798"/>
      <c r="B134" s="798"/>
      <c r="C134" s="798"/>
      <c r="D134" s="798"/>
      <c r="E134" s="798"/>
      <c r="F134" s="798"/>
      <c r="G134" s="798"/>
      <c r="H134" s="798"/>
      <c r="I134" s="798"/>
      <c r="J134" s="798"/>
      <c r="K134" s="798"/>
      <c r="L134" s="798"/>
      <c r="M134" s="798"/>
      <c r="N134" s="798"/>
    </row>
    <row r="135" spans="1:14">
      <c r="A135" s="798"/>
      <c r="B135" s="798"/>
      <c r="C135" s="798"/>
      <c r="D135" s="798"/>
      <c r="E135" s="798"/>
      <c r="F135" s="798"/>
      <c r="G135" s="798"/>
      <c r="H135" s="798"/>
      <c r="I135" s="798"/>
      <c r="J135" s="798"/>
      <c r="K135" s="798"/>
      <c r="L135" s="798"/>
      <c r="M135" s="798"/>
      <c r="N135" s="798"/>
    </row>
    <row r="136" spans="1:14">
      <c r="A136" s="798"/>
      <c r="B136" s="798"/>
      <c r="C136" s="798"/>
      <c r="D136" s="798"/>
      <c r="E136" s="798"/>
      <c r="F136" s="798"/>
      <c r="G136" s="798"/>
      <c r="H136" s="798"/>
      <c r="I136" s="798"/>
      <c r="J136" s="798"/>
      <c r="K136" s="798"/>
      <c r="L136" s="798"/>
      <c r="M136" s="798"/>
      <c r="N136" s="798"/>
    </row>
    <row r="137" spans="1:14">
      <c r="A137" s="798"/>
      <c r="B137" s="798"/>
      <c r="C137" s="798"/>
      <c r="D137" s="798"/>
      <c r="E137" s="798"/>
      <c r="F137" s="798"/>
      <c r="G137" s="798"/>
      <c r="H137" s="798"/>
      <c r="I137" s="798"/>
      <c r="J137" s="798"/>
      <c r="K137" s="798"/>
      <c r="L137" s="798"/>
      <c r="M137" s="798"/>
      <c r="N137" s="798"/>
    </row>
    <row r="138" spans="1:14">
      <c r="A138" s="798"/>
      <c r="B138" s="798"/>
      <c r="C138" s="798"/>
      <c r="D138" s="798"/>
      <c r="E138" s="798"/>
      <c r="F138" s="798"/>
      <c r="G138" s="798"/>
      <c r="H138" s="798"/>
      <c r="I138" s="798"/>
      <c r="J138" s="798"/>
      <c r="K138" s="798"/>
      <c r="L138" s="798"/>
      <c r="M138" s="798"/>
      <c r="N138" s="798"/>
    </row>
    <row r="139" spans="1:14">
      <c r="A139" s="798"/>
      <c r="B139" s="798"/>
      <c r="C139" s="798"/>
      <c r="D139" s="798"/>
      <c r="E139" s="798"/>
      <c r="F139" s="798"/>
      <c r="G139" s="798"/>
      <c r="H139" s="798"/>
      <c r="I139" s="798"/>
      <c r="J139" s="798"/>
      <c r="K139" s="798"/>
      <c r="L139" s="798"/>
      <c r="M139" s="798"/>
      <c r="N139" s="798"/>
    </row>
    <row r="140" spans="1:14">
      <c r="A140" s="798"/>
      <c r="B140" s="798"/>
      <c r="C140" s="798"/>
      <c r="D140" s="798"/>
      <c r="E140" s="798"/>
      <c r="F140" s="798"/>
      <c r="G140" s="798"/>
      <c r="H140" s="798"/>
      <c r="I140" s="798"/>
      <c r="J140" s="798"/>
      <c r="K140" s="798"/>
      <c r="L140" s="798"/>
      <c r="M140" s="798"/>
      <c r="N140" s="798"/>
    </row>
    <row r="141" spans="1:14">
      <c r="A141" s="798"/>
      <c r="B141" s="798"/>
      <c r="C141" s="798"/>
      <c r="D141" s="798"/>
      <c r="E141" s="798"/>
      <c r="F141" s="798"/>
      <c r="G141" s="798"/>
      <c r="H141" s="798"/>
      <c r="I141" s="798"/>
      <c r="J141" s="798"/>
      <c r="K141" s="798"/>
      <c r="L141" s="798"/>
      <c r="M141" s="798"/>
      <c r="N141" s="798"/>
    </row>
    <row r="142" spans="1:14">
      <c r="A142" s="798"/>
      <c r="B142" s="798"/>
      <c r="C142" s="798"/>
      <c r="D142" s="798"/>
      <c r="E142" s="798"/>
      <c r="F142" s="798"/>
      <c r="G142" s="798"/>
      <c r="H142" s="798"/>
      <c r="I142" s="798"/>
      <c r="J142" s="798"/>
      <c r="K142" s="798"/>
      <c r="L142" s="798"/>
      <c r="M142" s="798"/>
      <c r="N142" s="798"/>
    </row>
    <row r="143" spans="1:14">
      <c r="A143" s="798"/>
      <c r="B143" s="798"/>
      <c r="C143" s="798"/>
      <c r="D143" s="798"/>
      <c r="E143" s="798"/>
      <c r="F143" s="798"/>
      <c r="G143" s="798"/>
      <c r="H143" s="798"/>
      <c r="I143" s="798"/>
      <c r="J143" s="798"/>
      <c r="K143" s="798"/>
      <c r="L143" s="798"/>
      <c r="M143" s="798"/>
      <c r="N143" s="798"/>
    </row>
    <row r="144" spans="1:14">
      <c r="A144" s="798"/>
      <c r="B144" s="798"/>
      <c r="C144" s="798"/>
      <c r="D144" s="798"/>
      <c r="E144" s="798"/>
      <c r="F144" s="798"/>
      <c r="G144" s="798"/>
      <c r="H144" s="798"/>
      <c r="I144" s="798"/>
      <c r="J144" s="798"/>
      <c r="K144" s="798"/>
      <c r="L144" s="798"/>
      <c r="M144" s="798"/>
      <c r="N144" s="798"/>
    </row>
    <row r="145" spans="1:14">
      <c r="A145" s="798"/>
      <c r="B145" s="798"/>
      <c r="C145" s="798"/>
      <c r="D145" s="798"/>
      <c r="E145" s="798"/>
      <c r="F145" s="798"/>
      <c r="G145" s="798"/>
      <c r="H145" s="798"/>
      <c r="I145" s="798"/>
      <c r="J145" s="798"/>
      <c r="K145" s="798"/>
      <c r="L145" s="798"/>
      <c r="M145" s="798"/>
      <c r="N145" s="798"/>
    </row>
    <row r="146" spans="1:14">
      <c r="A146" s="798"/>
      <c r="B146" s="798"/>
      <c r="C146" s="798"/>
      <c r="D146" s="798"/>
      <c r="E146" s="798"/>
      <c r="F146" s="798"/>
      <c r="G146" s="798"/>
      <c r="H146" s="798"/>
      <c r="I146" s="798"/>
      <c r="J146" s="798"/>
      <c r="K146" s="798"/>
      <c r="L146" s="798"/>
      <c r="M146" s="798"/>
      <c r="N146" s="798"/>
    </row>
    <row r="147" spans="1:14">
      <c r="A147" s="798"/>
      <c r="B147" s="798"/>
      <c r="C147" s="798"/>
      <c r="D147" s="798"/>
      <c r="E147" s="798"/>
      <c r="F147" s="798"/>
      <c r="G147" s="798"/>
      <c r="H147" s="798"/>
      <c r="I147" s="798"/>
      <c r="J147" s="798"/>
      <c r="K147" s="798"/>
      <c r="L147" s="798"/>
      <c r="M147" s="798"/>
      <c r="N147" s="798"/>
    </row>
    <row r="148" spans="1:14">
      <c r="A148" s="798"/>
      <c r="B148" s="798"/>
      <c r="C148" s="798"/>
      <c r="D148" s="798"/>
      <c r="E148" s="798"/>
      <c r="F148" s="798"/>
      <c r="G148" s="798"/>
      <c r="H148" s="798"/>
      <c r="I148" s="798"/>
      <c r="J148" s="798"/>
      <c r="K148" s="798"/>
      <c r="L148" s="798"/>
      <c r="M148" s="798"/>
      <c r="N148" s="798"/>
    </row>
    <row r="149" spans="1:14">
      <c r="A149" s="798"/>
      <c r="B149" s="798"/>
      <c r="C149" s="798"/>
      <c r="D149" s="798"/>
      <c r="E149" s="798"/>
      <c r="F149" s="798"/>
      <c r="G149" s="798"/>
      <c r="H149" s="798"/>
      <c r="I149" s="798"/>
      <c r="J149" s="798"/>
      <c r="K149" s="798"/>
      <c r="L149" s="798"/>
      <c r="M149" s="798"/>
      <c r="N149" s="798"/>
    </row>
    <row r="150" spans="1:14">
      <c r="A150" s="798"/>
      <c r="B150" s="798"/>
      <c r="C150" s="798"/>
      <c r="D150" s="798"/>
      <c r="E150" s="798"/>
      <c r="F150" s="798"/>
      <c r="G150" s="798"/>
      <c r="H150" s="798"/>
      <c r="I150" s="798"/>
      <c r="J150" s="798"/>
      <c r="K150" s="798"/>
      <c r="L150" s="798"/>
      <c r="M150" s="798"/>
      <c r="N150" s="798"/>
    </row>
    <row r="151" spans="1:14">
      <c r="A151" s="798"/>
      <c r="B151" s="798"/>
      <c r="C151" s="798"/>
      <c r="D151" s="798"/>
      <c r="E151" s="798"/>
      <c r="F151" s="798"/>
      <c r="G151" s="798"/>
      <c r="H151" s="798"/>
      <c r="I151" s="798"/>
      <c r="J151" s="798"/>
      <c r="K151" s="798"/>
      <c r="L151" s="798"/>
      <c r="M151" s="798"/>
      <c r="N151" s="798"/>
    </row>
    <row r="152" spans="1:14">
      <c r="A152" s="798"/>
      <c r="B152" s="798"/>
      <c r="C152" s="798"/>
      <c r="D152" s="798"/>
      <c r="E152" s="798"/>
      <c r="F152" s="798"/>
      <c r="G152" s="798"/>
      <c r="H152" s="798"/>
      <c r="I152" s="798"/>
      <c r="J152" s="798"/>
      <c r="K152" s="798"/>
      <c r="L152" s="798"/>
      <c r="M152" s="798"/>
      <c r="N152" s="798"/>
    </row>
    <row r="153" spans="1:14">
      <c r="A153" s="798"/>
      <c r="B153" s="798"/>
      <c r="C153" s="798"/>
      <c r="D153" s="798"/>
      <c r="E153" s="798"/>
      <c r="F153" s="798"/>
      <c r="G153" s="798"/>
      <c r="H153" s="798"/>
      <c r="I153" s="798"/>
      <c r="J153" s="798"/>
      <c r="K153" s="798"/>
      <c r="L153" s="798"/>
      <c r="M153" s="798"/>
      <c r="N153" s="798"/>
    </row>
    <row r="154" spans="1:14">
      <c r="A154" s="798"/>
      <c r="B154" s="798"/>
      <c r="C154" s="798"/>
      <c r="D154" s="798"/>
      <c r="E154" s="798"/>
      <c r="F154" s="798"/>
      <c r="G154" s="798"/>
      <c r="H154" s="798"/>
      <c r="I154" s="798"/>
      <c r="J154" s="798"/>
      <c r="K154" s="798"/>
      <c r="L154" s="798"/>
      <c r="M154" s="798"/>
      <c r="N154" s="798"/>
    </row>
    <row r="155" spans="1:14">
      <c r="A155" s="798"/>
      <c r="B155" s="798"/>
      <c r="C155" s="798"/>
      <c r="D155" s="798"/>
      <c r="E155" s="798"/>
      <c r="F155" s="798"/>
      <c r="G155" s="798"/>
      <c r="H155" s="798"/>
      <c r="I155" s="798"/>
      <c r="J155" s="798"/>
      <c r="K155" s="798"/>
      <c r="L155" s="798"/>
      <c r="M155" s="798"/>
      <c r="N155" s="798"/>
    </row>
    <row r="156" spans="1:14">
      <c r="A156" s="798"/>
      <c r="B156" s="798"/>
      <c r="C156" s="798"/>
      <c r="D156" s="798"/>
      <c r="E156" s="798"/>
      <c r="F156" s="798"/>
      <c r="G156" s="798"/>
      <c r="H156" s="798"/>
      <c r="I156" s="798"/>
      <c r="J156" s="798"/>
      <c r="K156" s="798"/>
      <c r="L156" s="798"/>
      <c r="M156" s="798"/>
      <c r="N156" s="798"/>
    </row>
    <row r="157" spans="1:14">
      <c r="A157" s="798"/>
      <c r="B157" s="798"/>
      <c r="C157" s="798"/>
      <c r="D157" s="798"/>
      <c r="E157" s="798"/>
      <c r="F157" s="798"/>
      <c r="G157" s="798"/>
      <c r="H157" s="798"/>
      <c r="I157" s="798"/>
      <c r="J157" s="798"/>
      <c r="K157" s="798"/>
      <c r="L157" s="798"/>
      <c r="M157" s="798"/>
      <c r="N157" s="798"/>
    </row>
    <row r="158" spans="1:14">
      <c r="A158" s="798"/>
      <c r="B158" s="798"/>
      <c r="C158" s="798"/>
      <c r="D158" s="798"/>
      <c r="E158" s="798"/>
      <c r="F158" s="798"/>
      <c r="G158" s="798"/>
      <c r="H158" s="798"/>
      <c r="I158" s="798"/>
      <c r="J158" s="798"/>
      <c r="K158" s="798"/>
      <c r="L158" s="798"/>
      <c r="M158" s="798"/>
      <c r="N158" s="798"/>
    </row>
    <row r="159" spans="1:14">
      <c r="A159" s="798"/>
      <c r="B159" s="798"/>
      <c r="C159" s="798"/>
      <c r="D159" s="798"/>
      <c r="E159" s="798"/>
      <c r="F159" s="798"/>
      <c r="G159" s="798"/>
      <c r="H159" s="798"/>
      <c r="I159" s="798"/>
      <c r="J159" s="798"/>
      <c r="K159" s="798"/>
      <c r="L159" s="798"/>
      <c r="M159" s="798"/>
      <c r="N159" s="798"/>
    </row>
    <row r="160" spans="1:14">
      <c r="A160" s="798"/>
      <c r="B160" s="798"/>
      <c r="C160" s="798"/>
      <c r="D160" s="798"/>
      <c r="E160" s="798"/>
      <c r="F160" s="798"/>
      <c r="G160" s="798"/>
      <c r="H160" s="798"/>
      <c r="I160" s="798"/>
      <c r="J160" s="798"/>
      <c r="K160" s="798"/>
      <c r="L160" s="798"/>
      <c r="M160" s="798"/>
      <c r="N160" s="798"/>
    </row>
    <row r="161" spans="1:14">
      <c r="A161" s="798"/>
      <c r="B161" s="798"/>
      <c r="C161" s="798"/>
      <c r="D161" s="798"/>
      <c r="E161" s="798"/>
      <c r="F161" s="798"/>
      <c r="G161" s="798"/>
      <c r="H161" s="798"/>
      <c r="I161" s="798"/>
      <c r="J161" s="798"/>
      <c r="K161" s="798"/>
      <c r="L161" s="798"/>
      <c r="M161" s="798"/>
      <c r="N161" s="798"/>
    </row>
    <row r="162" spans="1:14">
      <c r="A162" s="798"/>
      <c r="B162" s="798"/>
      <c r="C162" s="798"/>
      <c r="D162" s="798"/>
      <c r="E162" s="798"/>
      <c r="F162" s="798"/>
      <c r="G162" s="798"/>
      <c r="H162" s="798"/>
      <c r="I162" s="798"/>
      <c r="J162" s="798"/>
      <c r="K162" s="798"/>
      <c r="L162" s="798"/>
      <c r="M162" s="798"/>
      <c r="N162" s="798"/>
    </row>
    <row r="163" spans="1:14">
      <c r="A163" s="798"/>
      <c r="B163" s="798"/>
      <c r="C163" s="798"/>
      <c r="D163" s="798"/>
      <c r="E163" s="798"/>
      <c r="F163" s="798"/>
      <c r="G163" s="798"/>
      <c r="H163" s="798"/>
      <c r="I163" s="798"/>
      <c r="J163" s="798"/>
      <c r="K163" s="798"/>
      <c r="L163" s="798"/>
      <c r="M163" s="798"/>
      <c r="N163" s="798"/>
    </row>
    <row r="164" spans="1:14">
      <c r="A164" s="798"/>
      <c r="B164" s="798"/>
      <c r="C164" s="798"/>
      <c r="D164" s="798"/>
      <c r="E164" s="798"/>
      <c r="F164" s="798"/>
      <c r="G164" s="798"/>
      <c r="H164" s="798"/>
      <c r="I164" s="798"/>
      <c r="J164" s="798"/>
      <c r="K164" s="798"/>
      <c r="L164" s="798"/>
      <c r="M164" s="798"/>
      <c r="N164" s="798"/>
    </row>
    <row r="165" spans="1:14">
      <c r="A165" s="798"/>
      <c r="B165" s="798"/>
      <c r="C165" s="798"/>
      <c r="D165" s="798"/>
      <c r="E165" s="798"/>
      <c r="F165" s="798"/>
      <c r="G165" s="798"/>
      <c r="H165" s="798"/>
      <c r="I165" s="798"/>
      <c r="J165" s="798"/>
      <c r="K165" s="798"/>
      <c r="L165" s="798"/>
      <c r="M165" s="798"/>
      <c r="N165" s="798"/>
    </row>
    <row r="166" spans="1:14">
      <c r="A166" s="798"/>
      <c r="B166" s="798"/>
      <c r="C166" s="798"/>
      <c r="D166" s="798"/>
      <c r="E166" s="798"/>
      <c r="F166" s="798"/>
      <c r="G166" s="798"/>
      <c r="H166" s="798"/>
      <c r="I166" s="798"/>
      <c r="J166" s="798"/>
      <c r="K166" s="798"/>
      <c r="L166" s="798"/>
      <c r="M166" s="798"/>
      <c r="N166" s="798"/>
    </row>
    <row r="167" spans="1:14">
      <c r="A167" s="798"/>
      <c r="B167" s="798"/>
      <c r="C167" s="798"/>
      <c r="D167" s="798"/>
      <c r="E167" s="798"/>
      <c r="F167" s="798"/>
      <c r="G167" s="798"/>
      <c r="H167" s="798"/>
      <c r="I167" s="798"/>
      <c r="J167" s="798"/>
      <c r="K167" s="798"/>
      <c r="L167" s="798"/>
      <c r="M167" s="798"/>
      <c r="N167" s="798"/>
    </row>
    <row r="168" spans="1:14">
      <c r="A168" s="798"/>
      <c r="B168" s="798"/>
      <c r="C168" s="798"/>
      <c r="D168" s="798"/>
      <c r="E168" s="798"/>
      <c r="F168" s="798"/>
      <c r="G168" s="798"/>
      <c r="H168" s="798"/>
      <c r="I168" s="798"/>
      <c r="J168" s="798"/>
      <c r="K168" s="798"/>
      <c r="L168" s="798"/>
      <c r="M168" s="798"/>
      <c r="N168" s="798"/>
    </row>
    <row r="169" spans="1:14">
      <c r="A169" s="798"/>
      <c r="B169" s="798"/>
      <c r="C169" s="798"/>
      <c r="D169" s="798"/>
      <c r="E169" s="798"/>
      <c r="F169" s="798"/>
      <c r="G169" s="798"/>
      <c r="H169" s="798"/>
      <c r="I169" s="798"/>
      <c r="J169" s="798"/>
      <c r="K169" s="798"/>
      <c r="L169" s="798"/>
      <c r="M169" s="798"/>
      <c r="N169" s="798"/>
    </row>
    <row r="170" spans="1:14">
      <c r="A170" s="798"/>
      <c r="B170" s="798"/>
      <c r="C170" s="798"/>
      <c r="D170" s="798"/>
      <c r="E170" s="798"/>
      <c r="F170" s="798"/>
      <c r="G170" s="798"/>
      <c r="H170" s="798"/>
      <c r="I170" s="798"/>
      <c r="J170" s="798"/>
      <c r="K170" s="798"/>
      <c r="L170" s="798"/>
      <c r="M170" s="798"/>
      <c r="N170" s="798"/>
    </row>
    <row r="171" spans="1:14">
      <c r="A171" s="798"/>
      <c r="B171" s="798"/>
      <c r="C171" s="798"/>
      <c r="D171" s="798"/>
      <c r="E171" s="798"/>
      <c r="F171" s="798"/>
      <c r="G171" s="798"/>
      <c r="H171" s="798"/>
      <c r="I171" s="798"/>
      <c r="J171" s="798"/>
      <c r="K171" s="798"/>
      <c r="L171" s="798"/>
      <c r="M171" s="798"/>
      <c r="N171" s="798"/>
    </row>
    <row r="172" spans="1:14">
      <c r="A172" s="798"/>
      <c r="B172" s="798"/>
      <c r="C172" s="798"/>
      <c r="D172" s="798"/>
      <c r="E172" s="798"/>
      <c r="F172" s="798"/>
      <c r="G172" s="798"/>
      <c r="H172" s="798"/>
      <c r="I172" s="798"/>
      <c r="J172" s="798"/>
      <c r="K172" s="798"/>
      <c r="L172" s="798"/>
      <c r="M172" s="798"/>
      <c r="N172" s="798"/>
    </row>
    <row r="173" spans="1:14">
      <c r="A173" s="798"/>
      <c r="B173" s="798"/>
      <c r="C173" s="798"/>
      <c r="D173" s="798"/>
      <c r="E173" s="798"/>
      <c r="F173" s="798"/>
      <c r="G173" s="798"/>
      <c r="H173" s="798"/>
      <c r="I173" s="798"/>
      <c r="J173" s="798"/>
      <c r="K173" s="798"/>
      <c r="L173" s="798"/>
      <c r="M173" s="798"/>
      <c r="N173" s="798"/>
    </row>
    <row r="174" spans="1:14">
      <c r="A174" s="798"/>
      <c r="B174" s="798"/>
      <c r="C174" s="798"/>
      <c r="D174" s="798"/>
      <c r="E174" s="798"/>
      <c r="F174" s="798"/>
      <c r="G174" s="798"/>
      <c r="H174" s="798"/>
      <c r="I174" s="798"/>
      <c r="J174" s="798"/>
      <c r="K174" s="798"/>
      <c r="L174" s="798"/>
      <c r="M174" s="798"/>
      <c r="N174" s="798"/>
    </row>
    <row r="175" spans="1:14">
      <c r="A175" s="798"/>
      <c r="B175" s="798"/>
      <c r="C175" s="798"/>
      <c r="D175" s="798"/>
      <c r="E175" s="798"/>
      <c r="F175" s="798"/>
      <c r="G175" s="798"/>
      <c r="H175" s="798"/>
      <c r="I175" s="798"/>
      <c r="J175" s="798"/>
      <c r="K175" s="798"/>
      <c r="L175" s="798"/>
      <c r="M175" s="798"/>
      <c r="N175" s="798"/>
    </row>
    <row r="176" spans="1:14">
      <c r="A176" s="798"/>
      <c r="B176" s="798"/>
      <c r="C176" s="798"/>
      <c r="D176" s="798"/>
      <c r="E176" s="798"/>
      <c r="F176" s="798"/>
      <c r="G176" s="798"/>
      <c r="H176" s="798"/>
      <c r="I176" s="798"/>
      <c r="J176" s="798"/>
      <c r="K176" s="798"/>
      <c r="L176" s="798"/>
      <c r="M176" s="798"/>
      <c r="N176" s="798"/>
    </row>
    <row r="177" spans="1:14">
      <c r="A177" s="798"/>
      <c r="B177" s="798"/>
      <c r="C177" s="798"/>
      <c r="D177" s="798"/>
      <c r="E177" s="798"/>
      <c r="F177" s="798"/>
      <c r="G177" s="798"/>
      <c r="H177" s="798"/>
      <c r="I177" s="798"/>
      <c r="J177" s="798"/>
      <c r="K177" s="798"/>
      <c r="L177" s="798"/>
      <c r="M177" s="798"/>
      <c r="N177" s="798"/>
    </row>
    <row r="178" spans="1:14">
      <c r="A178" s="798"/>
      <c r="B178" s="798"/>
      <c r="C178" s="798"/>
      <c r="D178" s="798"/>
      <c r="E178" s="798"/>
      <c r="F178" s="798"/>
      <c r="G178" s="798"/>
      <c r="H178" s="798"/>
      <c r="I178" s="798"/>
      <c r="J178" s="798"/>
      <c r="K178" s="798"/>
      <c r="L178" s="798"/>
      <c r="M178" s="798"/>
      <c r="N178" s="798"/>
    </row>
    <row r="179" spans="1:14">
      <c r="A179" s="798"/>
      <c r="B179" s="798"/>
      <c r="C179" s="798"/>
      <c r="D179" s="798"/>
      <c r="E179" s="798"/>
      <c r="F179" s="798"/>
      <c r="G179" s="798"/>
      <c r="H179" s="798"/>
      <c r="I179" s="798"/>
      <c r="J179" s="798"/>
      <c r="K179" s="798"/>
      <c r="L179" s="798"/>
      <c r="M179" s="798"/>
      <c r="N179" s="798"/>
    </row>
    <row r="180" spans="1:14">
      <c r="A180" s="798"/>
      <c r="B180" s="798"/>
      <c r="C180" s="798"/>
      <c r="D180" s="798"/>
      <c r="E180" s="798"/>
      <c r="F180" s="798"/>
      <c r="G180" s="798"/>
      <c r="H180" s="798"/>
      <c r="I180" s="798"/>
      <c r="J180" s="798"/>
      <c r="K180" s="798"/>
      <c r="L180" s="798"/>
      <c r="M180" s="798"/>
      <c r="N180" s="798"/>
    </row>
    <row r="181" spans="1:14">
      <c r="A181" s="798"/>
      <c r="B181" s="798"/>
      <c r="C181" s="798"/>
      <c r="D181" s="798"/>
      <c r="E181" s="798"/>
      <c r="F181" s="798"/>
      <c r="G181" s="798"/>
      <c r="H181" s="798"/>
      <c r="I181" s="798"/>
      <c r="J181" s="798"/>
      <c r="K181" s="798"/>
      <c r="L181" s="798"/>
      <c r="M181" s="798"/>
      <c r="N181" s="798"/>
    </row>
    <row r="182" spans="1:14">
      <c r="A182" s="798"/>
      <c r="B182" s="798"/>
      <c r="C182" s="798"/>
      <c r="D182" s="798"/>
      <c r="E182" s="798"/>
      <c r="F182" s="798"/>
      <c r="G182" s="798"/>
      <c r="H182" s="798"/>
      <c r="I182" s="798"/>
      <c r="J182" s="798"/>
      <c r="K182" s="798"/>
      <c r="L182" s="798"/>
      <c r="M182" s="798"/>
      <c r="N182" s="798"/>
    </row>
    <row r="183" spans="1:14">
      <c r="A183" s="798"/>
      <c r="B183" s="798"/>
      <c r="C183" s="798"/>
      <c r="D183" s="798"/>
      <c r="E183" s="798"/>
      <c r="F183" s="798"/>
      <c r="G183" s="798"/>
      <c r="H183" s="798"/>
      <c r="I183" s="798"/>
      <c r="J183" s="798"/>
      <c r="K183" s="798"/>
      <c r="L183" s="798"/>
      <c r="M183" s="798"/>
      <c r="N183" s="798"/>
    </row>
    <row r="184" spans="1:14">
      <c r="A184" s="798"/>
      <c r="B184" s="798"/>
      <c r="C184" s="798"/>
      <c r="D184" s="798"/>
      <c r="E184" s="798"/>
      <c r="F184" s="798"/>
      <c r="G184" s="798"/>
      <c r="H184" s="798"/>
      <c r="I184" s="798"/>
      <c r="J184" s="798"/>
      <c r="K184" s="798"/>
      <c r="L184" s="798"/>
      <c r="M184" s="798"/>
      <c r="N184" s="798"/>
    </row>
    <row r="185" spans="1:14">
      <c r="A185" s="798"/>
      <c r="B185" s="798"/>
      <c r="C185" s="798"/>
      <c r="D185" s="798"/>
      <c r="E185" s="798"/>
      <c r="F185" s="798"/>
      <c r="G185" s="798"/>
      <c r="H185" s="798"/>
      <c r="I185" s="798"/>
      <c r="J185" s="798"/>
      <c r="K185" s="798"/>
      <c r="L185" s="798"/>
      <c r="M185" s="798"/>
      <c r="N185" s="798"/>
    </row>
    <row r="186" spans="1:14">
      <c r="A186" s="798"/>
      <c r="B186" s="798"/>
      <c r="C186" s="798"/>
      <c r="D186" s="798"/>
      <c r="E186" s="798"/>
      <c r="F186" s="798"/>
      <c r="G186" s="798"/>
      <c r="H186" s="798"/>
      <c r="I186" s="798"/>
      <c r="J186" s="798"/>
      <c r="K186" s="798"/>
      <c r="L186" s="798"/>
      <c r="M186" s="798"/>
      <c r="N186" s="798"/>
    </row>
    <row r="187" spans="1:14">
      <c r="A187" s="798"/>
      <c r="B187" s="798"/>
      <c r="C187" s="798"/>
      <c r="D187" s="798"/>
      <c r="E187" s="798"/>
      <c r="F187" s="798"/>
      <c r="G187" s="798"/>
      <c r="H187" s="798"/>
      <c r="I187" s="798"/>
      <c r="J187" s="798"/>
      <c r="K187" s="798"/>
      <c r="L187" s="798"/>
      <c r="M187" s="798"/>
      <c r="N187" s="798"/>
    </row>
    <row r="188" spans="1:14">
      <c r="A188" s="798"/>
      <c r="B188" s="798"/>
      <c r="C188" s="798"/>
      <c r="D188" s="798"/>
      <c r="E188" s="798"/>
      <c r="F188" s="798"/>
      <c r="G188" s="798"/>
      <c r="H188" s="798"/>
      <c r="I188" s="798"/>
      <c r="J188" s="798"/>
      <c r="K188" s="798"/>
      <c r="L188" s="798"/>
      <c r="M188" s="798"/>
      <c r="N188" s="798"/>
    </row>
    <row r="189" spans="1:14">
      <c r="A189" s="798"/>
      <c r="B189" s="798"/>
      <c r="C189" s="798"/>
      <c r="D189" s="798"/>
      <c r="E189" s="798"/>
      <c r="F189" s="798"/>
      <c r="G189" s="798"/>
      <c r="H189" s="798"/>
      <c r="I189" s="798"/>
      <c r="J189" s="798"/>
      <c r="K189" s="798"/>
      <c r="L189" s="798"/>
      <c r="M189" s="798"/>
      <c r="N189" s="798"/>
    </row>
    <row r="190" spans="1:14">
      <c r="A190" s="798"/>
      <c r="B190" s="798"/>
      <c r="C190" s="798"/>
      <c r="D190" s="798"/>
      <c r="E190" s="798"/>
      <c r="F190" s="798"/>
      <c r="G190" s="798"/>
      <c r="H190" s="798"/>
      <c r="I190" s="798"/>
      <c r="J190" s="798"/>
      <c r="K190" s="798"/>
      <c r="L190" s="798"/>
      <c r="M190" s="798"/>
      <c r="N190" s="798"/>
    </row>
    <row r="191" spans="1:14">
      <c r="A191" s="798"/>
      <c r="B191" s="798"/>
      <c r="C191" s="798"/>
      <c r="D191" s="798"/>
      <c r="E191" s="798"/>
      <c r="F191" s="798"/>
      <c r="G191" s="798"/>
      <c r="H191" s="798"/>
      <c r="I191" s="798"/>
      <c r="J191" s="798"/>
      <c r="K191" s="798"/>
      <c r="L191" s="798"/>
      <c r="M191" s="798"/>
      <c r="N191" s="798"/>
    </row>
    <row r="192" spans="1:14">
      <c r="A192" s="798"/>
      <c r="B192" s="798"/>
      <c r="C192" s="798"/>
      <c r="D192" s="798"/>
      <c r="E192" s="798"/>
      <c r="F192" s="798"/>
      <c r="G192" s="798"/>
      <c r="H192" s="798"/>
      <c r="I192" s="798"/>
      <c r="J192" s="798"/>
      <c r="K192" s="798"/>
      <c r="L192" s="798"/>
      <c r="M192" s="798"/>
      <c r="N192" s="798"/>
    </row>
    <row r="193" spans="1:14">
      <c r="A193" s="798"/>
      <c r="B193" s="798"/>
      <c r="C193" s="798"/>
      <c r="D193" s="798"/>
      <c r="E193" s="798"/>
      <c r="F193" s="798"/>
      <c r="G193" s="798"/>
      <c r="H193" s="798"/>
      <c r="I193" s="798"/>
      <c r="J193" s="798"/>
      <c r="K193" s="798"/>
      <c r="L193" s="798"/>
      <c r="M193" s="798"/>
      <c r="N193" s="798"/>
    </row>
    <row r="194" spans="1:14">
      <c r="A194" s="798"/>
      <c r="B194" s="798"/>
      <c r="C194" s="798"/>
      <c r="D194" s="798"/>
      <c r="E194" s="798"/>
      <c r="F194" s="798"/>
      <c r="G194" s="798"/>
      <c r="H194" s="798"/>
      <c r="I194" s="798"/>
      <c r="J194" s="798"/>
      <c r="K194" s="798"/>
      <c r="L194" s="798"/>
      <c r="M194" s="798"/>
      <c r="N194" s="798"/>
    </row>
    <row r="195" spans="1:14">
      <c r="A195" s="798"/>
      <c r="B195" s="798"/>
      <c r="C195" s="798"/>
      <c r="D195" s="798"/>
      <c r="E195" s="798"/>
      <c r="F195" s="798"/>
      <c r="G195" s="798"/>
      <c r="H195" s="798"/>
      <c r="I195" s="798"/>
      <c r="J195" s="798"/>
      <c r="K195" s="798"/>
      <c r="L195" s="798"/>
      <c r="M195" s="798"/>
      <c r="N195" s="798"/>
    </row>
    <row r="196" spans="1:14">
      <c r="A196" s="798"/>
      <c r="B196" s="798"/>
      <c r="C196" s="798"/>
      <c r="D196" s="798"/>
      <c r="E196" s="798"/>
      <c r="F196" s="798"/>
      <c r="G196" s="798"/>
      <c r="H196" s="798"/>
      <c r="I196" s="798"/>
      <c r="J196" s="798"/>
      <c r="K196" s="798"/>
      <c r="L196" s="798"/>
      <c r="M196" s="798"/>
      <c r="N196" s="798"/>
    </row>
    <row r="197" spans="1:14">
      <c r="A197" s="798"/>
      <c r="B197" s="798"/>
      <c r="C197" s="798"/>
      <c r="D197" s="798"/>
      <c r="E197" s="798"/>
      <c r="F197" s="798"/>
      <c r="G197" s="798"/>
      <c r="H197" s="798"/>
      <c r="I197" s="798"/>
      <c r="J197" s="798"/>
      <c r="K197" s="798"/>
      <c r="L197" s="798"/>
      <c r="M197" s="798"/>
      <c r="N197" s="798"/>
    </row>
    <row r="198" spans="1:14">
      <c r="A198" s="798"/>
      <c r="B198" s="798"/>
      <c r="C198" s="798"/>
      <c r="D198" s="798"/>
      <c r="E198" s="798"/>
      <c r="F198" s="798"/>
      <c r="G198" s="798"/>
      <c r="H198" s="798"/>
      <c r="I198" s="798"/>
      <c r="J198" s="798"/>
      <c r="K198" s="798"/>
      <c r="L198" s="798"/>
      <c r="M198" s="798"/>
      <c r="N198" s="798"/>
    </row>
    <row r="199" spans="1:14">
      <c r="A199" s="798"/>
      <c r="B199" s="798"/>
      <c r="C199" s="798"/>
      <c r="D199" s="798"/>
      <c r="E199" s="798"/>
      <c r="F199" s="798"/>
      <c r="G199" s="798"/>
      <c r="H199" s="798"/>
      <c r="I199" s="798"/>
      <c r="J199" s="798"/>
      <c r="K199" s="798"/>
      <c r="L199" s="798"/>
      <c r="M199" s="798"/>
      <c r="N199" s="798"/>
    </row>
    <row r="200" spans="1:14">
      <c r="A200" s="798"/>
      <c r="B200" s="798"/>
      <c r="C200" s="798"/>
      <c r="D200" s="798"/>
      <c r="E200" s="798"/>
      <c r="F200" s="798"/>
      <c r="G200" s="798"/>
      <c r="H200" s="798"/>
      <c r="I200" s="798"/>
      <c r="J200" s="798"/>
      <c r="K200" s="798"/>
      <c r="L200" s="798"/>
      <c r="M200" s="798"/>
      <c r="N200" s="798"/>
    </row>
    <row r="201" spans="1:14">
      <c r="A201" s="798"/>
      <c r="B201" s="798"/>
      <c r="C201" s="798"/>
      <c r="D201" s="798"/>
      <c r="E201" s="798"/>
      <c r="F201" s="798"/>
      <c r="G201" s="798"/>
      <c r="H201" s="798"/>
      <c r="I201" s="798"/>
      <c r="J201" s="798"/>
      <c r="K201" s="798"/>
      <c r="L201" s="798"/>
      <c r="M201" s="798"/>
      <c r="N201" s="798"/>
    </row>
    <row r="202" spans="1:14">
      <c r="A202" s="798"/>
      <c r="B202" s="798"/>
      <c r="C202" s="798"/>
      <c r="D202" s="798"/>
      <c r="E202" s="798"/>
      <c r="F202" s="798"/>
      <c r="G202" s="798"/>
      <c r="H202" s="798"/>
      <c r="I202" s="798"/>
      <c r="J202" s="798"/>
      <c r="K202" s="798"/>
      <c r="L202" s="798"/>
      <c r="M202" s="798"/>
      <c r="N202" s="798"/>
    </row>
    <row r="203" spans="1:14">
      <c r="A203" s="798"/>
      <c r="B203" s="798"/>
      <c r="C203" s="798"/>
      <c r="D203" s="798"/>
      <c r="E203" s="798"/>
      <c r="F203" s="798"/>
      <c r="G203" s="798"/>
      <c r="H203" s="798"/>
      <c r="I203" s="798"/>
      <c r="J203" s="798"/>
      <c r="K203" s="798"/>
      <c r="L203" s="798"/>
      <c r="M203" s="798"/>
      <c r="N203" s="798"/>
    </row>
    <row r="204" spans="1:14">
      <c r="A204" s="798"/>
      <c r="B204" s="798"/>
      <c r="C204" s="798"/>
      <c r="D204" s="798"/>
      <c r="E204" s="798"/>
      <c r="F204" s="798"/>
      <c r="G204" s="798"/>
      <c r="H204" s="798"/>
      <c r="I204" s="798"/>
      <c r="J204" s="798"/>
      <c r="K204" s="798"/>
      <c r="L204" s="798"/>
      <c r="M204" s="798"/>
      <c r="N204" s="798"/>
    </row>
    <row r="205" spans="1:14">
      <c r="A205" s="798"/>
      <c r="B205" s="798"/>
      <c r="C205" s="798"/>
      <c r="D205" s="798"/>
      <c r="E205" s="798"/>
      <c r="F205" s="798"/>
      <c r="G205" s="798"/>
      <c r="H205" s="798"/>
      <c r="I205" s="798"/>
      <c r="J205" s="798"/>
      <c r="K205" s="798"/>
      <c r="L205" s="798"/>
      <c r="M205" s="798"/>
      <c r="N205" s="798"/>
    </row>
    <row r="206" spans="1:14">
      <c r="A206" s="798"/>
      <c r="B206" s="798"/>
      <c r="C206" s="798"/>
      <c r="D206" s="798"/>
      <c r="E206" s="798"/>
      <c r="F206" s="798"/>
      <c r="G206" s="798"/>
      <c r="H206" s="798"/>
      <c r="I206" s="798"/>
      <c r="J206" s="798"/>
      <c r="K206" s="798"/>
      <c r="L206" s="798"/>
      <c r="M206" s="798"/>
      <c r="N206" s="798"/>
    </row>
    <row r="207" spans="1:14">
      <c r="A207" s="798"/>
      <c r="B207" s="798"/>
      <c r="C207" s="798"/>
      <c r="D207" s="798"/>
      <c r="E207" s="798"/>
      <c r="F207" s="798"/>
      <c r="G207" s="798"/>
      <c r="H207" s="798"/>
      <c r="I207" s="798"/>
      <c r="J207" s="798"/>
      <c r="K207" s="798"/>
      <c r="L207" s="798"/>
      <c r="M207" s="798"/>
      <c r="N207" s="798"/>
    </row>
    <row r="208" spans="1:14">
      <c r="A208" s="798"/>
      <c r="B208" s="798"/>
      <c r="C208" s="798"/>
      <c r="D208" s="798"/>
      <c r="E208" s="798"/>
      <c r="F208" s="798"/>
      <c r="G208" s="798"/>
      <c r="H208" s="798"/>
      <c r="I208" s="798"/>
      <c r="J208" s="798"/>
      <c r="K208" s="798"/>
      <c r="L208" s="798"/>
      <c r="M208" s="798"/>
      <c r="N208" s="798"/>
    </row>
    <row r="209" spans="1:14">
      <c r="A209" s="798"/>
      <c r="B209" s="798"/>
      <c r="C209" s="798"/>
      <c r="D209" s="798"/>
      <c r="E209" s="798"/>
      <c r="F209" s="798"/>
      <c r="G209" s="798"/>
      <c r="H209" s="798"/>
      <c r="I209" s="798"/>
      <c r="J209" s="798"/>
      <c r="K209" s="798"/>
      <c r="L209" s="798"/>
      <c r="M209" s="798"/>
      <c r="N209" s="798"/>
    </row>
    <row r="210" spans="1:14">
      <c r="A210" s="798"/>
      <c r="B210" s="798"/>
      <c r="C210" s="798"/>
      <c r="D210" s="798"/>
      <c r="E210" s="798"/>
      <c r="F210" s="798"/>
      <c r="G210" s="798"/>
      <c r="H210" s="798"/>
      <c r="I210" s="798"/>
      <c r="J210" s="798"/>
      <c r="K210" s="798"/>
      <c r="L210" s="798"/>
      <c r="M210" s="798"/>
      <c r="N210" s="798"/>
    </row>
    <row r="211" spans="1:14">
      <c r="A211" s="798"/>
      <c r="B211" s="798"/>
      <c r="C211" s="798"/>
      <c r="D211" s="798"/>
      <c r="E211" s="798"/>
      <c r="F211" s="798"/>
      <c r="G211" s="798"/>
      <c r="H211" s="798"/>
      <c r="I211" s="798"/>
      <c r="J211" s="798"/>
      <c r="K211" s="798"/>
      <c r="L211" s="798"/>
      <c r="M211" s="798"/>
      <c r="N211" s="798"/>
    </row>
    <row r="212" spans="1:14">
      <c r="A212" s="798"/>
      <c r="B212" s="798"/>
      <c r="C212" s="798"/>
      <c r="D212" s="798"/>
      <c r="E212" s="798"/>
      <c r="F212" s="798"/>
      <c r="G212" s="798"/>
      <c r="H212" s="798"/>
      <c r="I212" s="798"/>
      <c r="J212" s="798"/>
      <c r="K212" s="798"/>
      <c r="L212" s="798"/>
      <c r="M212" s="798"/>
      <c r="N212" s="798"/>
    </row>
    <row r="213" spans="1:14">
      <c r="A213" s="798"/>
      <c r="B213" s="798"/>
      <c r="C213" s="798"/>
      <c r="D213" s="798"/>
      <c r="E213" s="798"/>
      <c r="F213" s="798"/>
      <c r="G213" s="798"/>
      <c r="H213" s="798"/>
      <c r="I213" s="798"/>
      <c r="J213" s="798"/>
      <c r="K213" s="798"/>
      <c r="L213" s="798"/>
      <c r="M213" s="798"/>
      <c r="N213" s="798"/>
    </row>
    <row r="214" spans="1:14">
      <c r="A214" s="798"/>
      <c r="B214" s="798"/>
      <c r="C214" s="798"/>
      <c r="D214" s="798"/>
      <c r="E214" s="798"/>
      <c r="F214" s="798"/>
      <c r="G214" s="798"/>
      <c r="H214" s="798"/>
      <c r="I214" s="798"/>
      <c r="J214" s="798"/>
      <c r="K214" s="798"/>
      <c r="L214" s="798"/>
      <c r="M214" s="798"/>
      <c r="N214" s="798"/>
    </row>
    <row r="215" spans="1:14">
      <c r="A215" s="798"/>
      <c r="B215" s="798"/>
      <c r="C215" s="798"/>
      <c r="D215" s="798"/>
      <c r="E215" s="798"/>
      <c r="F215" s="798"/>
      <c r="G215" s="798"/>
      <c r="H215" s="798"/>
      <c r="I215" s="798"/>
      <c r="J215" s="798"/>
      <c r="K215" s="798"/>
      <c r="L215" s="798"/>
      <c r="M215" s="798"/>
      <c r="N215" s="798"/>
    </row>
    <row r="216" spans="1:14">
      <c r="A216" s="798"/>
      <c r="B216" s="798"/>
      <c r="C216" s="798"/>
      <c r="D216" s="798"/>
      <c r="E216" s="798"/>
      <c r="F216" s="798"/>
      <c r="G216" s="798"/>
      <c r="H216" s="798"/>
      <c r="I216" s="798"/>
      <c r="J216" s="798"/>
      <c r="K216" s="798"/>
      <c r="L216" s="798"/>
      <c r="M216" s="798"/>
      <c r="N216" s="798"/>
    </row>
    <row r="217" spans="1:14">
      <c r="A217" s="798"/>
      <c r="B217" s="798"/>
      <c r="C217" s="798"/>
      <c r="D217" s="798"/>
      <c r="E217" s="798"/>
      <c r="F217" s="798"/>
      <c r="G217" s="798"/>
      <c r="H217" s="798"/>
      <c r="I217" s="798"/>
      <c r="J217" s="798"/>
      <c r="K217" s="798"/>
      <c r="L217" s="798"/>
      <c r="M217" s="798"/>
      <c r="N217" s="798"/>
    </row>
    <row r="218" spans="1:14">
      <c r="A218" s="798"/>
      <c r="B218" s="798"/>
      <c r="C218" s="798"/>
      <c r="D218" s="798"/>
      <c r="E218" s="798"/>
      <c r="F218" s="798"/>
      <c r="G218" s="798"/>
      <c r="H218" s="798"/>
      <c r="I218" s="798"/>
      <c r="J218" s="798"/>
      <c r="K218" s="798"/>
      <c r="L218" s="798"/>
      <c r="M218" s="798"/>
      <c r="N218" s="798"/>
    </row>
    <row r="219" spans="1:14">
      <c r="A219" s="798"/>
      <c r="B219" s="798"/>
      <c r="C219" s="798"/>
      <c r="D219" s="798"/>
      <c r="E219" s="798"/>
      <c r="F219" s="798"/>
      <c r="G219" s="798"/>
      <c r="H219" s="798"/>
      <c r="I219" s="798"/>
      <c r="J219" s="798"/>
      <c r="K219" s="798"/>
      <c r="L219" s="798"/>
      <c r="M219" s="798"/>
      <c r="N219" s="798"/>
    </row>
    <row r="220" spans="1:14">
      <c r="A220" s="798"/>
      <c r="B220" s="798"/>
      <c r="C220" s="798"/>
      <c r="D220" s="798"/>
      <c r="E220" s="798"/>
      <c r="F220" s="798"/>
      <c r="G220" s="798"/>
      <c r="H220" s="798"/>
      <c r="I220" s="798"/>
      <c r="J220" s="798"/>
      <c r="K220" s="798"/>
      <c r="L220" s="798"/>
      <c r="M220" s="798"/>
      <c r="N220" s="798"/>
    </row>
    <row r="221" spans="1:14">
      <c r="A221" s="798"/>
      <c r="B221" s="798"/>
      <c r="C221" s="798"/>
      <c r="D221" s="798"/>
      <c r="E221" s="798"/>
      <c r="F221" s="798"/>
      <c r="G221" s="798"/>
      <c r="H221" s="798"/>
      <c r="I221" s="798"/>
      <c r="J221" s="798"/>
      <c r="K221" s="798"/>
      <c r="L221" s="798"/>
      <c r="M221" s="798"/>
      <c r="N221" s="798"/>
    </row>
    <row r="222" spans="1:14">
      <c r="A222" s="798"/>
      <c r="B222" s="798"/>
      <c r="C222" s="798"/>
      <c r="D222" s="798"/>
      <c r="E222" s="798"/>
      <c r="F222" s="798"/>
      <c r="G222" s="798"/>
      <c r="H222" s="798"/>
      <c r="I222" s="798"/>
      <c r="J222" s="798"/>
      <c r="K222" s="798"/>
      <c r="L222" s="798"/>
      <c r="M222" s="798"/>
      <c r="N222" s="798"/>
    </row>
    <row r="223" spans="1:14">
      <c r="A223" s="798"/>
      <c r="B223" s="798"/>
      <c r="C223" s="798"/>
      <c r="D223" s="798"/>
      <c r="E223" s="798"/>
      <c r="F223" s="798"/>
      <c r="G223" s="798"/>
      <c r="H223" s="798"/>
      <c r="I223" s="798"/>
      <c r="J223" s="798"/>
      <c r="K223" s="798"/>
      <c r="L223" s="798"/>
      <c r="M223" s="798"/>
      <c r="N223" s="798"/>
    </row>
    <row r="224" spans="1:14">
      <c r="A224" s="798"/>
      <c r="B224" s="798"/>
      <c r="C224" s="798"/>
      <c r="D224" s="798"/>
      <c r="E224" s="798"/>
      <c r="F224" s="798"/>
      <c r="G224" s="798"/>
      <c r="H224" s="798"/>
      <c r="I224" s="798"/>
      <c r="J224" s="798"/>
      <c r="K224" s="798"/>
      <c r="L224" s="798"/>
      <c r="M224" s="798"/>
      <c r="N224" s="798"/>
    </row>
    <row r="225" spans="1:14">
      <c r="A225" s="798"/>
      <c r="B225" s="798"/>
      <c r="C225" s="798"/>
      <c r="D225" s="798"/>
      <c r="E225" s="798"/>
      <c r="F225" s="798"/>
      <c r="G225" s="798"/>
      <c r="H225" s="798"/>
      <c r="I225" s="798"/>
      <c r="J225" s="798"/>
      <c r="K225" s="798"/>
      <c r="L225" s="798"/>
      <c r="M225" s="798"/>
      <c r="N225" s="798"/>
    </row>
    <row r="226" spans="1:14">
      <c r="A226" s="798"/>
      <c r="B226" s="798"/>
      <c r="C226" s="798"/>
      <c r="D226" s="798"/>
      <c r="E226" s="798"/>
      <c r="F226" s="798"/>
      <c r="G226" s="798"/>
      <c r="H226" s="798"/>
      <c r="I226" s="798"/>
      <c r="J226" s="798"/>
      <c r="K226" s="798"/>
      <c r="L226" s="798"/>
      <c r="M226" s="798"/>
      <c r="N226" s="798"/>
    </row>
    <row r="227" spans="1:14">
      <c r="A227" s="798"/>
      <c r="B227" s="798"/>
      <c r="C227" s="798"/>
      <c r="D227" s="798"/>
      <c r="E227" s="798"/>
      <c r="F227" s="798"/>
      <c r="G227" s="798"/>
      <c r="H227" s="798"/>
      <c r="I227" s="798"/>
      <c r="J227" s="798"/>
      <c r="K227" s="798"/>
      <c r="L227" s="798"/>
      <c r="M227" s="798"/>
      <c r="N227" s="798"/>
    </row>
    <row r="228" spans="1:14">
      <c r="A228" s="798"/>
      <c r="B228" s="798"/>
      <c r="C228" s="798"/>
      <c r="D228" s="798"/>
      <c r="E228" s="798"/>
      <c r="F228" s="798"/>
      <c r="G228" s="798"/>
      <c r="H228" s="798"/>
      <c r="I228" s="798"/>
      <c r="J228" s="798"/>
      <c r="K228" s="798"/>
      <c r="L228" s="798"/>
      <c r="M228" s="798"/>
      <c r="N228" s="798"/>
    </row>
    <row r="229" spans="1:14">
      <c r="A229" s="798"/>
      <c r="B229" s="798"/>
      <c r="C229" s="798"/>
      <c r="D229" s="798"/>
      <c r="E229" s="798"/>
      <c r="F229" s="798"/>
      <c r="G229" s="798"/>
      <c r="H229" s="798"/>
      <c r="I229" s="798"/>
      <c r="J229" s="798"/>
      <c r="K229" s="798"/>
      <c r="L229" s="798"/>
      <c r="M229" s="798"/>
      <c r="N229" s="798"/>
    </row>
    <row r="230" spans="1:14">
      <c r="A230" s="798"/>
      <c r="B230" s="798"/>
      <c r="C230" s="798"/>
      <c r="D230" s="798"/>
      <c r="E230" s="798"/>
      <c r="F230" s="798"/>
      <c r="G230" s="798"/>
      <c r="H230" s="798"/>
      <c r="I230" s="798"/>
      <c r="J230" s="798"/>
      <c r="K230" s="798"/>
      <c r="L230" s="798"/>
      <c r="M230" s="798"/>
      <c r="N230" s="798"/>
    </row>
    <row r="231" spans="1:14">
      <c r="A231" s="798"/>
      <c r="B231" s="798"/>
      <c r="C231" s="798"/>
      <c r="D231" s="798"/>
      <c r="E231" s="798"/>
      <c r="F231" s="798"/>
      <c r="G231" s="798"/>
      <c r="H231" s="798"/>
      <c r="I231" s="798"/>
      <c r="J231" s="798"/>
      <c r="K231" s="798"/>
      <c r="L231" s="798"/>
      <c r="M231" s="798"/>
      <c r="N231" s="798"/>
    </row>
    <row r="232" spans="1:14">
      <c r="A232" s="798"/>
      <c r="B232" s="798"/>
      <c r="C232" s="798"/>
      <c r="D232" s="798"/>
      <c r="E232" s="798"/>
      <c r="F232" s="798"/>
      <c r="G232" s="798"/>
      <c r="H232" s="798"/>
      <c r="I232" s="798"/>
      <c r="J232" s="798"/>
      <c r="K232" s="798"/>
      <c r="L232" s="798"/>
      <c r="M232" s="798"/>
      <c r="N232" s="798"/>
    </row>
    <row r="233" spans="1:14">
      <c r="A233" s="798"/>
      <c r="B233" s="798"/>
      <c r="C233" s="798"/>
      <c r="D233" s="798"/>
      <c r="E233" s="798"/>
      <c r="F233" s="798"/>
      <c r="G233" s="798"/>
      <c r="H233" s="798"/>
      <c r="I233" s="798"/>
      <c r="J233" s="798"/>
      <c r="K233" s="798"/>
      <c r="L233" s="798"/>
      <c r="M233" s="798"/>
      <c r="N233" s="798"/>
    </row>
    <row r="234" spans="1:14">
      <c r="A234" s="798"/>
      <c r="B234" s="798"/>
      <c r="C234" s="798"/>
      <c r="D234" s="798"/>
      <c r="E234" s="798"/>
      <c r="F234" s="798"/>
      <c r="G234" s="798"/>
      <c r="H234" s="798"/>
      <c r="I234" s="798"/>
      <c r="J234" s="798"/>
      <c r="K234" s="798"/>
      <c r="L234" s="798"/>
      <c r="M234" s="798"/>
      <c r="N234" s="798"/>
    </row>
    <row r="235" spans="1:14">
      <c r="A235" s="798"/>
      <c r="B235" s="798"/>
      <c r="C235" s="798"/>
      <c r="D235" s="798"/>
      <c r="E235" s="798"/>
      <c r="F235" s="798"/>
      <c r="G235" s="798"/>
      <c r="H235" s="798"/>
      <c r="I235" s="798"/>
      <c r="J235" s="798"/>
      <c r="K235" s="798"/>
      <c r="L235" s="798"/>
      <c r="M235" s="798"/>
      <c r="N235" s="798"/>
    </row>
    <row r="236" spans="1:14">
      <c r="A236" s="798"/>
      <c r="B236" s="798"/>
      <c r="C236" s="798"/>
      <c r="D236" s="798"/>
      <c r="E236" s="798"/>
      <c r="F236" s="798"/>
      <c r="G236" s="798"/>
      <c r="H236" s="798"/>
      <c r="I236" s="798"/>
      <c r="J236" s="798"/>
      <c r="K236" s="798"/>
      <c r="L236" s="798"/>
      <c r="M236" s="798"/>
      <c r="N236" s="798"/>
    </row>
    <row r="237" spans="1:14">
      <c r="A237" s="798"/>
      <c r="B237" s="798"/>
      <c r="C237" s="798"/>
      <c r="D237" s="798"/>
      <c r="E237" s="798"/>
      <c r="F237" s="798"/>
      <c r="G237" s="798"/>
      <c r="H237" s="798"/>
      <c r="I237" s="798"/>
      <c r="J237" s="798"/>
      <c r="K237" s="798"/>
      <c r="L237" s="798"/>
      <c r="M237" s="798"/>
      <c r="N237" s="798"/>
    </row>
    <row r="238" spans="1:14">
      <c r="A238" s="798"/>
      <c r="B238" s="798"/>
      <c r="C238" s="798"/>
      <c r="D238" s="798"/>
      <c r="E238" s="798"/>
      <c r="F238" s="798"/>
      <c r="G238" s="798"/>
      <c r="H238" s="798"/>
      <c r="I238" s="798"/>
      <c r="J238" s="798"/>
      <c r="K238" s="798"/>
      <c r="L238" s="798"/>
      <c r="M238" s="798"/>
      <c r="N238" s="798"/>
    </row>
    <row r="239" spans="1:14">
      <c r="A239" s="798"/>
      <c r="B239" s="798"/>
      <c r="C239" s="798"/>
      <c r="D239" s="798"/>
      <c r="E239" s="798"/>
      <c r="F239" s="798"/>
      <c r="G239" s="798"/>
      <c r="H239" s="798"/>
      <c r="I239" s="798"/>
      <c r="J239" s="798"/>
      <c r="K239" s="798"/>
      <c r="L239" s="798"/>
      <c r="M239" s="798"/>
      <c r="N239" s="798"/>
    </row>
    <row r="240" spans="1:14">
      <c r="A240" s="798"/>
      <c r="B240" s="798"/>
      <c r="C240" s="798"/>
      <c r="D240" s="798"/>
      <c r="E240" s="798"/>
      <c r="F240" s="798"/>
      <c r="G240" s="798"/>
      <c r="H240" s="798"/>
      <c r="I240" s="798"/>
      <c r="J240" s="798"/>
      <c r="K240" s="798"/>
      <c r="L240" s="798"/>
      <c r="M240" s="798"/>
      <c r="N240" s="798"/>
    </row>
    <row r="241" spans="1:14">
      <c r="A241" s="798"/>
      <c r="B241" s="798"/>
      <c r="C241" s="798"/>
      <c r="D241" s="798"/>
      <c r="E241" s="798"/>
      <c r="F241" s="798"/>
      <c r="G241" s="798"/>
      <c r="H241" s="798"/>
      <c r="I241" s="798"/>
      <c r="J241" s="798"/>
      <c r="K241" s="798"/>
      <c r="L241" s="798"/>
      <c r="M241" s="798"/>
      <c r="N241" s="798"/>
    </row>
    <row r="242" spans="1:14">
      <c r="A242" s="798"/>
      <c r="B242" s="798"/>
      <c r="C242" s="798"/>
      <c r="D242" s="798"/>
      <c r="E242" s="798"/>
      <c r="F242" s="798"/>
      <c r="G242" s="798"/>
      <c r="H242" s="798"/>
      <c r="I242" s="798"/>
      <c r="J242" s="798"/>
      <c r="K242" s="798"/>
      <c r="L242" s="798"/>
      <c r="M242" s="798"/>
      <c r="N242" s="798"/>
    </row>
    <row r="243" spans="1:14">
      <c r="A243" s="798"/>
      <c r="B243" s="798"/>
      <c r="C243" s="798"/>
      <c r="D243" s="798"/>
      <c r="E243" s="798"/>
      <c r="F243" s="798"/>
      <c r="G243" s="798"/>
      <c r="H243" s="798"/>
      <c r="I243" s="798"/>
      <c r="J243" s="798"/>
      <c r="K243" s="798"/>
      <c r="L243" s="798"/>
      <c r="M243" s="798"/>
      <c r="N243" s="798"/>
    </row>
    <row r="244" spans="1:14">
      <c r="A244" s="798"/>
      <c r="B244" s="798"/>
      <c r="C244" s="798"/>
      <c r="D244" s="798"/>
      <c r="E244" s="798"/>
      <c r="F244" s="798"/>
      <c r="G244" s="798"/>
      <c r="H244" s="798"/>
      <c r="I244" s="798"/>
      <c r="J244" s="798"/>
      <c r="K244" s="798"/>
      <c r="L244" s="798"/>
      <c r="M244" s="798"/>
      <c r="N244" s="798"/>
    </row>
    <row r="245" spans="1:14">
      <c r="A245" s="798"/>
      <c r="B245" s="798"/>
      <c r="C245" s="798"/>
      <c r="D245" s="798"/>
      <c r="E245" s="798"/>
      <c r="F245" s="798"/>
      <c r="G245" s="798"/>
      <c r="H245" s="798"/>
      <c r="I245" s="798"/>
      <c r="J245" s="798"/>
      <c r="K245" s="798"/>
      <c r="L245" s="798"/>
      <c r="M245" s="798"/>
      <c r="N245" s="798"/>
    </row>
    <row r="246" spans="1:14">
      <c r="A246" s="798"/>
      <c r="B246" s="798"/>
      <c r="C246" s="798"/>
      <c r="D246" s="798"/>
      <c r="E246" s="798"/>
      <c r="F246" s="798"/>
      <c r="G246" s="798"/>
      <c r="H246" s="798"/>
      <c r="I246" s="798"/>
      <c r="J246" s="798"/>
      <c r="K246" s="798"/>
      <c r="L246" s="798"/>
      <c r="M246" s="798"/>
      <c r="N246" s="798"/>
    </row>
    <row r="247" spans="1:14">
      <c r="A247" s="798"/>
      <c r="B247" s="798"/>
      <c r="C247" s="798"/>
      <c r="D247" s="798"/>
      <c r="E247" s="798"/>
      <c r="F247" s="798"/>
      <c r="G247" s="798"/>
      <c r="H247" s="798"/>
      <c r="I247" s="798"/>
      <c r="J247" s="798"/>
      <c r="K247" s="798"/>
      <c r="L247" s="798"/>
      <c r="M247" s="798"/>
      <c r="N247" s="798"/>
    </row>
    <row r="248" spans="1:14">
      <c r="A248" s="798"/>
      <c r="B248" s="798"/>
      <c r="C248" s="798"/>
      <c r="D248" s="798"/>
      <c r="E248" s="798"/>
      <c r="F248" s="798"/>
      <c r="G248" s="798"/>
      <c r="H248" s="798"/>
      <c r="I248" s="798"/>
      <c r="J248" s="798"/>
      <c r="K248" s="798"/>
      <c r="L248" s="798"/>
      <c r="M248" s="798"/>
      <c r="N248" s="798"/>
    </row>
    <row r="249" spans="1:14">
      <c r="A249" s="798"/>
      <c r="B249" s="798"/>
      <c r="C249" s="798"/>
      <c r="D249" s="798"/>
      <c r="E249" s="798"/>
      <c r="F249" s="798"/>
      <c r="G249" s="798"/>
      <c r="H249" s="798"/>
      <c r="I249" s="798"/>
      <c r="J249" s="798"/>
      <c r="K249" s="798"/>
      <c r="L249" s="798"/>
      <c r="M249" s="798"/>
      <c r="N249" s="798"/>
    </row>
    <row r="250" spans="1:14">
      <c r="A250" s="798"/>
      <c r="B250" s="798"/>
      <c r="C250" s="798"/>
      <c r="D250" s="798"/>
      <c r="E250" s="798"/>
      <c r="F250" s="798"/>
      <c r="G250" s="798"/>
      <c r="H250" s="798"/>
      <c r="I250" s="798"/>
      <c r="J250" s="798"/>
      <c r="K250" s="798"/>
      <c r="L250" s="798"/>
      <c r="M250" s="798"/>
      <c r="N250" s="798"/>
    </row>
    <row r="251" spans="1:14">
      <c r="A251" s="798"/>
      <c r="B251" s="798"/>
      <c r="C251" s="798"/>
      <c r="D251" s="798"/>
      <c r="E251" s="798"/>
      <c r="F251" s="798"/>
      <c r="G251" s="798"/>
      <c r="H251" s="798"/>
      <c r="I251" s="798"/>
      <c r="J251" s="798"/>
      <c r="K251" s="798"/>
      <c r="L251" s="798"/>
      <c r="M251" s="798"/>
      <c r="N251" s="798"/>
    </row>
    <row r="252" spans="1:14">
      <c r="A252" s="798"/>
      <c r="B252" s="798"/>
      <c r="C252" s="798"/>
      <c r="D252" s="798"/>
      <c r="E252" s="798"/>
      <c r="F252" s="798"/>
      <c r="G252" s="798"/>
      <c r="H252" s="798"/>
      <c r="I252" s="798"/>
      <c r="J252" s="798"/>
      <c r="K252" s="798"/>
      <c r="L252" s="798"/>
      <c r="M252" s="798"/>
      <c r="N252" s="798"/>
    </row>
    <row r="253" spans="1:14">
      <c r="A253" s="798"/>
      <c r="B253" s="798"/>
      <c r="C253" s="798"/>
      <c r="D253" s="798"/>
      <c r="E253" s="798"/>
      <c r="F253" s="798"/>
      <c r="G253" s="798"/>
      <c r="H253" s="798"/>
      <c r="I253" s="798"/>
      <c r="J253" s="798"/>
      <c r="K253" s="798"/>
      <c r="L253" s="798"/>
      <c r="M253" s="798"/>
      <c r="N253" s="798"/>
    </row>
    <row r="254" spans="1:14">
      <c r="A254" s="798"/>
      <c r="B254" s="798"/>
      <c r="C254" s="798"/>
      <c r="D254" s="798"/>
      <c r="E254" s="798"/>
      <c r="F254" s="798"/>
      <c r="G254" s="798"/>
      <c r="H254" s="798"/>
      <c r="I254" s="798"/>
      <c r="J254" s="798"/>
      <c r="K254" s="798"/>
      <c r="L254" s="798"/>
      <c r="M254" s="798"/>
      <c r="N254" s="798"/>
    </row>
    <row r="255" spans="1:14">
      <c r="A255" s="798"/>
      <c r="B255" s="798"/>
      <c r="C255" s="798"/>
      <c r="D255" s="798"/>
      <c r="E255" s="798"/>
      <c r="F255" s="798"/>
      <c r="G255" s="798"/>
      <c r="H255" s="798"/>
      <c r="I255" s="798"/>
      <c r="J255" s="798"/>
      <c r="K255" s="798"/>
      <c r="L255" s="798"/>
      <c r="M255" s="798"/>
      <c r="N255" s="798"/>
    </row>
    <row r="256" spans="1:14">
      <c r="A256" s="798"/>
      <c r="B256" s="798"/>
      <c r="C256" s="798"/>
      <c r="D256" s="798"/>
      <c r="E256" s="798"/>
      <c r="F256" s="798"/>
      <c r="G256" s="798"/>
      <c r="H256" s="798"/>
      <c r="I256" s="798"/>
      <c r="J256" s="798"/>
      <c r="K256" s="798"/>
      <c r="L256" s="798"/>
      <c r="M256" s="798"/>
      <c r="N256" s="798"/>
    </row>
    <row r="257" spans="1:14">
      <c r="A257" s="798"/>
      <c r="B257" s="798"/>
      <c r="C257" s="798"/>
      <c r="D257" s="798"/>
      <c r="E257" s="798"/>
      <c r="F257" s="798"/>
      <c r="G257" s="798"/>
      <c r="H257" s="798"/>
      <c r="I257" s="798"/>
      <c r="J257" s="798"/>
      <c r="K257" s="798"/>
      <c r="L257" s="798"/>
      <c r="M257" s="798"/>
      <c r="N257" s="798"/>
    </row>
    <row r="258" spans="1:14">
      <c r="A258" s="798"/>
      <c r="B258" s="798"/>
      <c r="C258" s="798"/>
      <c r="D258" s="798"/>
      <c r="E258" s="798"/>
      <c r="F258" s="798"/>
      <c r="G258" s="798"/>
      <c r="H258" s="798"/>
      <c r="I258" s="798"/>
      <c r="J258" s="798"/>
      <c r="K258" s="798"/>
      <c r="L258" s="798"/>
      <c r="M258" s="798"/>
      <c r="N258" s="798"/>
    </row>
    <row r="259" spans="1:14">
      <c r="A259" s="798"/>
      <c r="B259" s="798"/>
      <c r="C259" s="798"/>
      <c r="D259" s="798"/>
      <c r="E259" s="798"/>
      <c r="F259" s="798"/>
      <c r="G259" s="798"/>
      <c r="H259" s="798"/>
      <c r="I259" s="798"/>
      <c r="J259" s="798"/>
      <c r="K259" s="798"/>
      <c r="L259" s="798"/>
      <c r="M259" s="798"/>
      <c r="N259" s="798"/>
    </row>
    <row r="260" spans="1:14">
      <c r="A260" s="798"/>
      <c r="B260" s="798"/>
      <c r="C260" s="798"/>
      <c r="D260" s="798"/>
      <c r="E260" s="798"/>
      <c r="F260" s="798"/>
      <c r="G260" s="798"/>
      <c r="H260" s="798"/>
      <c r="I260" s="798"/>
      <c r="J260" s="798"/>
      <c r="K260" s="798"/>
      <c r="L260" s="798"/>
      <c r="M260" s="798"/>
      <c r="N260" s="798"/>
    </row>
    <row r="261" spans="1:14">
      <c r="A261" s="798"/>
      <c r="B261" s="798"/>
      <c r="C261" s="798"/>
      <c r="D261" s="798"/>
      <c r="E261" s="798"/>
      <c r="F261" s="798"/>
      <c r="G261" s="798"/>
      <c r="H261" s="798"/>
      <c r="I261" s="798"/>
      <c r="J261" s="798"/>
      <c r="K261" s="798"/>
      <c r="L261" s="798"/>
      <c r="M261" s="798"/>
      <c r="N261" s="798"/>
    </row>
    <row r="262" spans="1:14">
      <c r="A262" s="798"/>
      <c r="B262" s="798"/>
      <c r="C262" s="798"/>
      <c r="D262" s="798"/>
      <c r="E262" s="798"/>
      <c r="F262" s="798"/>
      <c r="G262" s="798"/>
      <c r="H262" s="798"/>
      <c r="I262" s="798"/>
      <c r="J262" s="798"/>
      <c r="K262" s="798"/>
      <c r="L262" s="798"/>
      <c r="M262" s="798"/>
      <c r="N262" s="798"/>
    </row>
    <row r="263" spans="1:14">
      <c r="A263" s="798"/>
      <c r="B263" s="798"/>
      <c r="C263" s="798"/>
      <c r="D263" s="798"/>
      <c r="E263" s="798"/>
      <c r="F263" s="798"/>
      <c r="G263" s="798"/>
      <c r="H263" s="798"/>
      <c r="I263" s="798"/>
      <c r="J263" s="798"/>
      <c r="K263" s="798"/>
      <c r="L263" s="798"/>
      <c r="M263" s="798"/>
      <c r="N263" s="798"/>
    </row>
    <row r="264" spans="1:14">
      <c r="A264" s="798"/>
      <c r="B264" s="798"/>
      <c r="C264" s="798"/>
      <c r="D264" s="798"/>
      <c r="E264" s="798"/>
      <c r="F264" s="798"/>
      <c r="G264" s="798"/>
      <c r="H264" s="798"/>
      <c r="I264" s="798"/>
      <c r="J264" s="798"/>
      <c r="K264" s="798"/>
      <c r="L264" s="798"/>
      <c r="M264" s="798"/>
      <c r="N264" s="798"/>
    </row>
    <row r="265" spans="1:14">
      <c r="A265" s="798"/>
      <c r="B265" s="798"/>
      <c r="C265" s="798"/>
      <c r="D265" s="798"/>
      <c r="E265" s="798"/>
      <c r="F265" s="798"/>
      <c r="G265" s="798"/>
      <c r="H265" s="798"/>
      <c r="I265" s="798"/>
      <c r="J265" s="798"/>
      <c r="K265" s="798"/>
      <c r="L265" s="798"/>
      <c r="M265" s="798"/>
      <c r="N265" s="798"/>
    </row>
    <row r="266" spans="1:14">
      <c r="A266" s="798"/>
      <c r="B266" s="798"/>
      <c r="C266" s="798"/>
      <c r="D266" s="798"/>
      <c r="E266" s="798"/>
      <c r="F266" s="798"/>
      <c r="G266" s="798"/>
      <c r="H266" s="798"/>
      <c r="I266" s="798"/>
      <c r="J266" s="798"/>
      <c r="K266" s="798"/>
      <c r="L266" s="798"/>
      <c r="M266" s="798"/>
      <c r="N266" s="798"/>
    </row>
  </sheetData>
  <mergeCells count="21">
    <mergeCell ref="I20:J20"/>
    <mergeCell ref="C21:D21"/>
    <mergeCell ref="E21:F21"/>
    <mergeCell ref="G21:G22"/>
    <mergeCell ref="H21:H22"/>
    <mergeCell ref="I21:I22"/>
    <mergeCell ref="J21:J22"/>
    <mergeCell ref="A20:A22"/>
    <mergeCell ref="B20:B22"/>
    <mergeCell ref="C20:F20"/>
    <mergeCell ref="A3:A4"/>
    <mergeCell ref="B3:B4"/>
    <mergeCell ref="C3:E3"/>
    <mergeCell ref="F3:H3"/>
    <mergeCell ref="G20:H20"/>
    <mergeCell ref="A2:R2"/>
    <mergeCell ref="L3:N3"/>
    <mergeCell ref="O3:P3"/>
    <mergeCell ref="Q3:R3"/>
    <mergeCell ref="A19:J19"/>
    <mergeCell ref="I3:K3"/>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Z49"/>
  <sheetViews>
    <sheetView zoomScale="85" zoomScaleNormal="85" zoomScaleSheetLayoutView="130" workbookViewId="0">
      <selection activeCell="L32" sqref="L32"/>
    </sheetView>
  </sheetViews>
  <sheetFormatPr defaultColWidth="9.140625" defaultRowHeight="12.75"/>
  <cols>
    <col min="1" max="1" width="9.140625" style="609" customWidth="1"/>
    <col min="2" max="2" width="9.7109375" style="609" customWidth="1"/>
    <col min="3" max="3" width="7.85546875" style="609" customWidth="1"/>
    <col min="4" max="4" width="11.140625" style="1028" customWidth="1"/>
    <col min="5" max="5" width="11.5703125" style="1028" customWidth="1"/>
    <col min="6" max="7" width="9.140625" style="609"/>
    <col min="8" max="8" width="10.7109375" style="609" customWidth="1"/>
    <col min="9" max="9" width="10.28515625" style="609" customWidth="1"/>
    <col min="10" max="25" width="9.140625" style="609"/>
    <col min="26" max="26" width="9" style="609" customWidth="1"/>
    <col min="27" max="16384" width="9.140625" style="609"/>
  </cols>
  <sheetData>
    <row r="1" spans="1:26" s="610" customFormat="1" ht="18" customHeight="1">
      <c r="A1" s="1478" t="s">
        <v>925</v>
      </c>
      <c r="B1" s="1478"/>
      <c r="C1" s="1478"/>
      <c r="D1" s="1478"/>
      <c r="E1" s="1478"/>
      <c r="F1" s="1478"/>
      <c r="G1" s="1478"/>
      <c r="H1" s="1478"/>
      <c r="I1" s="1478"/>
      <c r="J1" s="1478"/>
      <c r="K1" s="1478"/>
      <c r="L1" s="1478"/>
      <c r="M1" s="1478"/>
      <c r="N1" s="1478"/>
      <c r="O1" s="1478"/>
      <c r="P1" s="1478"/>
      <c r="Q1" s="1478"/>
      <c r="R1" s="1478"/>
      <c r="S1" s="1478"/>
      <c r="T1" s="1478"/>
    </row>
    <row r="2" spans="1:26" ht="17.25" customHeight="1">
      <c r="A2" s="1507" t="s">
        <v>70</v>
      </c>
      <c r="B2" s="1469" t="s">
        <v>874</v>
      </c>
      <c r="C2" s="1470"/>
      <c r="D2" s="1470"/>
      <c r="E2" s="1470"/>
      <c r="F2" s="1470"/>
      <c r="G2" s="1471"/>
      <c r="H2" s="1469" t="s">
        <v>870</v>
      </c>
      <c r="I2" s="1470"/>
      <c r="J2" s="1470"/>
      <c r="K2" s="1470"/>
      <c r="L2" s="1470"/>
      <c r="M2" s="1470"/>
      <c r="N2" s="1471"/>
      <c r="O2" s="1469" t="s">
        <v>875</v>
      </c>
      <c r="P2" s="1470"/>
      <c r="Q2" s="1470"/>
      <c r="R2" s="1471"/>
      <c r="S2" s="1469" t="s">
        <v>87</v>
      </c>
      <c r="T2" s="1470"/>
      <c r="U2" s="1470"/>
      <c r="V2" s="1471"/>
      <c r="W2" s="1469" t="s">
        <v>88</v>
      </c>
      <c r="X2" s="1470"/>
      <c r="Y2" s="1470"/>
      <c r="Z2" s="1470"/>
    </row>
    <row r="3" spans="1:26" ht="25.5" customHeight="1">
      <c r="A3" s="1508"/>
      <c r="B3" s="1510" t="s">
        <v>926</v>
      </c>
      <c r="C3" s="1511"/>
      <c r="D3" s="1512" t="s">
        <v>1194</v>
      </c>
      <c r="E3" s="1513"/>
      <c r="F3" s="1514" t="s">
        <v>927</v>
      </c>
      <c r="G3" s="1515"/>
      <c r="H3" s="1510" t="s">
        <v>926</v>
      </c>
      <c r="I3" s="1516"/>
      <c r="J3" s="1511"/>
      <c r="K3" s="1510" t="s">
        <v>928</v>
      </c>
      <c r="L3" s="1511"/>
      <c r="M3" s="1510" t="s">
        <v>927</v>
      </c>
      <c r="N3" s="1511"/>
      <c r="O3" s="1510" t="s">
        <v>926</v>
      </c>
      <c r="P3" s="1511"/>
      <c r="Q3" s="1514" t="s">
        <v>927</v>
      </c>
      <c r="R3" s="1515"/>
      <c r="S3" s="1510" t="s">
        <v>926</v>
      </c>
      <c r="T3" s="1511"/>
      <c r="U3" s="1514" t="s">
        <v>927</v>
      </c>
      <c r="V3" s="1515"/>
      <c r="W3" s="1514" t="s">
        <v>926</v>
      </c>
      <c r="X3" s="1515"/>
      <c r="Y3" s="1514" t="s">
        <v>927</v>
      </c>
      <c r="Z3" s="1515"/>
    </row>
    <row r="4" spans="1:26">
      <c r="A4" s="1509"/>
      <c r="B4" s="648" t="s">
        <v>152</v>
      </c>
      <c r="C4" s="648" t="s">
        <v>929</v>
      </c>
      <c r="D4" s="648" t="s">
        <v>152</v>
      </c>
      <c r="E4" s="648" t="s">
        <v>929</v>
      </c>
      <c r="F4" s="648" t="s">
        <v>152</v>
      </c>
      <c r="G4" s="648" t="s">
        <v>929</v>
      </c>
      <c r="H4" s="648" t="s">
        <v>152</v>
      </c>
      <c r="I4" s="648" t="s">
        <v>929</v>
      </c>
      <c r="J4" s="648" t="s">
        <v>930</v>
      </c>
      <c r="K4" s="648" t="s">
        <v>152</v>
      </c>
      <c r="L4" s="648" t="s">
        <v>929</v>
      </c>
      <c r="M4" s="648" t="s">
        <v>152</v>
      </c>
      <c r="N4" s="648" t="s">
        <v>929</v>
      </c>
      <c r="O4" s="648" t="s">
        <v>152</v>
      </c>
      <c r="P4" s="648" t="s">
        <v>929</v>
      </c>
      <c r="Q4" s="648" t="s">
        <v>152</v>
      </c>
      <c r="R4" s="648" t="s">
        <v>929</v>
      </c>
      <c r="S4" s="648" t="s">
        <v>152</v>
      </c>
      <c r="T4" s="648" t="s">
        <v>929</v>
      </c>
      <c r="U4" s="648" t="s">
        <v>152</v>
      </c>
      <c r="V4" s="648" t="s">
        <v>929</v>
      </c>
      <c r="W4" s="648" t="s">
        <v>152</v>
      </c>
      <c r="X4" s="648" t="s">
        <v>929</v>
      </c>
      <c r="Y4" s="648" t="s">
        <v>152</v>
      </c>
      <c r="Z4" s="648" t="s">
        <v>929</v>
      </c>
    </row>
    <row r="5" spans="1:26" s="682" customFormat="1">
      <c r="A5" s="706" t="s">
        <v>58</v>
      </c>
      <c r="B5" s="822">
        <v>38.263375195290081</v>
      </c>
      <c r="C5" s="822">
        <v>61.736624804709926</v>
      </c>
      <c r="D5" s="822"/>
      <c r="E5" s="822"/>
      <c r="F5" s="822">
        <v>36.876706656365037</v>
      </c>
      <c r="G5" s="822">
        <v>63.12329334363497</v>
      </c>
      <c r="H5" s="368">
        <v>47.191851662479657</v>
      </c>
      <c r="I5" s="368">
        <v>52.042840539860727</v>
      </c>
      <c r="J5" s="368">
        <v>0.76530779765961998</v>
      </c>
      <c r="K5" s="823" t="s">
        <v>215</v>
      </c>
      <c r="L5" s="823" t="s">
        <v>215</v>
      </c>
      <c r="M5" s="823" t="s">
        <v>215</v>
      </c>
      <c r="N5" s="823" t="s">
        <v>215</v>
      </c>
      <c r="O5" s="368">
        <v>56.34039194494023</v>
      </c>
      <c r="P5" s="368">
        <v>43.65960805505977</v>
      </c>
      <c r="Q5" s="368">
        <v>70.48881550130254</v>
      </c>
      <c r="R5" s="368">
        <v>29.427851165364132</v>
      </c>
      <c r="S5" s="368">
        <v>65.500177652679895</v>
      </c>
      <c r="T5" s="368">
        <v>34.499822347319999</v>
      </c>
      <c r="U5" s="368">
        <v>82.051748505711799</v>
      </c>
      <c r="V5" s="368">
        <v>17.948251494288101</v>
      </c>
      <c r="W5" s="368" t="s">
        <v>215</v>
      </c>
      <c r="X5" s="368" t="s">
        <v>215</v>
      </c>
      <c r="Y5" s="368">
        <v>45.265392816655925</v>
      </c>
      <c r="Z5" s="368">
        <v>54.734607183344067</v>
      </c>
    </row>
    <row r="6" spans="1:26" s="682" customFormat="1">
      <c r="A6" s="706" t="s">
        <v>61</v>
      </c>
      <c r="B6" s="822">
        <v>33.789644867667093</v>
      </c>
      <c r="C6" s="822">
        <v>66.210355132332907</v>
      </c>
      <c r="D6" s="822">
        <v>49.526791683012021</v>
      </c>
      <c r="E6" s="822">
        <v>50.473208316987972</v>
      </c>
      <c r="F6" s="822">
        <v>36.031011370162467</v>
      </c>
      <c r="G6" s="822">
        <v>63.968988629837533</v>
      </c>
      <c r="H6" s="368">
        <v>41.724157392586889</v>
      </c>
      <c r="I6" s="368">
        <v>56.865318199581679</v>
      </c>
      <c r="J6" s="368">
        <v>1.410524407831433</v>
      </c>
      <c r="K6" s="824">
        <v>36.843665733545201</v>
      </c>
      <c r="L6" s="824">
        <v>63.156334266454806</v>
      </c>
      <c r="M6" s="824">
        <v>14.911799714331059</v>
      </c>
      <c r="N6" s="824">
        <v>85.08562926519599</v>
      </c>
      <c r="O6" s="368">
        <v>63.235141646546388</v>
      </c>
      <c r="P6" s="368">
        <v>36.764858353453619</v>
      </c>
      <c r="Q6" s="368">
        <v>68.139607446788602</v>
      </c>
      <c r="R6" s="368">
        <v>31.860392553211398</v>
      </c>
      <c r="S6" s="368">
        <v>63.581842214713383</v>
      </c>
      <c r="T6" s="368">
        <v>36.418157785286617</v>
      </c>
      <c r="U6" s="368">
        <v>50.144141753039918</v>
      </c>
      <c r="V6" s="368">
        <v>49.855858246960082</v>
      </c>
      <c r="W6" s="368">
        <v>97.68525783798016</v>
      </c>
      <c r="X6" s="368">
        <v>2.3147421620198294</v>
      </c>
      <c r="Y6" s="368">
        <v>56.792481592121035</v>
      </c>
      <c r="Z6" s="368">
        <v>43.207518407878965</v>
      </c>
    </row>
    <row r="7" spans="1:26">
      <c r="A7" s="825">
        <v>43922</v>
      </c>
      <c r="B7" s="666">
        <v>41.228984003003951</v>
      </c>
      <c r="C7" s="666">
        <v>58.771015996996049</v>
      </c>
      <c r="D7" s="666"/>
      <c r="E7" s="666"/>
      <c r="F7" s="666">
        <v>36.838343802546476</v>
      </c>
      <c r="G7" s="666">
        <v>63.161656197453532</v>
      </c>
      <c r="H7" s="369">
        <v>42.834718314098083</v>
      </c>
      <c r="I7" s="369">
        <v>55.823640975250612</v>
      </c>
      <c r="J7" s="369">
        <v>1.3416407106513035</v>
      </c>
      <c r="K7" s="826" t="s">
        <v>215</v>
      </c>
      <c r="L7" s="826" t="s">
        <v>215</v>
      </c>
      <c r="M7" s="826"/>
      <c r="N7" s="826"/>
      <c r="O7" s="666">
        <v>77.480720944400218</v>
      </c>
      <c r="P7" s="666">
        <v>22.519279055599792</v>
      </c>
      <c r="Q7" s="666">
        <v>80.365906794025037</v>
      </c>
      <c r="R7" s="666">
        <v>19.634093205974963</v>
      </c>
      <c r="S7" s="369">
        <v>50.014821811873098</v>
      </c>
      <c r="T7" s="369">
        <v>49.985178188126802</v>
      </c>
      <c r="U7" s="369">
        <v>0</v>
      </c>
      <c r="V7" s="369">
        <v>0</v>
      </c>
      <c r="W7" s="369" t="s">
        <v>215</v>
      </c>
      <c r="X7" s="369" t="s">
        <v>215</v>
      </c>
      <c r="Y7" s="369">
        <v>76.107388748053168</v>
      </c>
      <c r="Z7" s="369">
        <v>23.892611251946835</v>
      </c>
    </row>
    <row r="8" spans="1:26">
      <c r="A8" s="825">
        <v>43953</v>
      </c>
      <c r="B8" s="666">
        <v>41.821318486638738</v>
      </c>
      <c r="C8" s="666">
        <v>58.178681513361262</v>
      </c>
      <c r="D8" s="666"/>
      <c r="E8" s="666"/>
      <c r="F8" s="666">
        <v>36.500108639509506</v>
      </c>
      <c r="G8" s="666">
        <v>63.499891360490487</v>
      </c>
      <c r="H8" s="369">
        <v>44.723323322684053</v>
      </c>
      <c r="I8" s="369">
        <v>53.650266114905719</v>
      </c>
      <c r="J8" s="369">
        <v>1.6264105624102139</v>
      </c>
      <c r="K8" s="369">
        <v>42.524685025355978</v>
      </c>
      <c r="L8" s="369">
        <v>57.475314974644029</v>
      </c>
      <c r="M8" s="369"/>
      <c r="N8" s="369"/>
      <c r="O8" s="666">
        <v>58.535423799125596</v>
      </c>
      <c r="P8" s="666">
        <v>41.464576200874404</v>
      </c>
      <c r="Q8" s="666">
        <v>57.643030362191347</v>
      </c>
      <c r="R8" s="666">
        <v>42.35696963780866</v>
      </c>
      <c r="S8" s="369">
        <v>59.5197592974015</v>
      </c>
      <c r="T8" s="369">
        <v>40.480240702598401</v>
      </c>
      <c r="U8" s="369">
        <v>53.888918025908602</v>
      </c>
      <c r="V8" s="369">
        <v>46.111081974091299</v>
      </c>
      <c r="W8" s="369" t="s">
        <v>215</v>
      </c>
      <c r="X8" s="369" t="s">
        <v>215</v>
      </c>
      <c r="Y8" s="369">
        <v>66.819481302240789</v>
      </c>
      <c r="Z8" s="369">
        <v>33.180518697759211</v>
      </c>
    </row>
    <row r="9" spans="1:26">
      <c r="A9" s="825">
        <v>43985</v>
      </c>
      <c r="B9" s="666">
        <v>34.190765817968924</v>
      </c>
      <c r="C9" s="666">
        <v>65.809234182031091</v>
      </c>
      <c r="D9" s="666"/>
      <c r="E9" s="666"/>
      <c r="F9" s="666">
        <v>36.838868889630874</v>
      </c>
      <c r="G9" s="666">
        <v>63.161131110369126</v>
      </c>
      <c r="H9" s="369">
        <v>40.512302721036029</v>
      </c>
      <c r="I9" s="369">
        <v>57.699914565140674</v>
      </c>
      <c r="J9" s="369">
        <v>1.787782713823292</v>
      </c>
      <c r="K9" s="369">
        <v>37.108271890274899</v>
      </c>
      <c r="L9" s="369">
        <v>62.891728109725101</v>
      </c>
      <c r="M9" s="369"/>
      <c r="N9" s="369"/>
      <c r="O9" s="666">
        <v>2.0756957666838565</v>
      </c>
      <c r="P9" s="666">
        <v>97.92430423331615</v>
      </c>
      <c r="Q9" s="666">
        <v>37.154911925855679</v>
      </c>
      <c r="R9" s="666">
        <v>62.845088074144329</v>
      </c>
      <c r="S9" s="369">
        <v>57.377483830409297</v>
      </c>
      <c r="T9" s="369">
        <v>42.622516169590597</v>
      </c>
      <c r="U9" s="369">
        <v>50.469893645724902</v>
      </c>
      <c r="V9" s="369">
        <v>49.530106354274999</v>
      </c>
      <c r="W9" s="369" t="s">
        <v>215</v>
      </c>
      <c r="X9" s="369" t="s">
        <v>215</v>
      </c>
      <c r="Y9" s="369">
        <v>74.497235354489561</v>
      </c>
      <c r="Z9" s="369">
        <v>25.502764645510439</v>
      </c>
    </row>
    <row r="10" spans="1:26">
      <c r="A10" s="825">
        <v>44016</v>
      </c>
      <c r="B10" s="666">
        <v>32.390231614931196</v>
      </c>
      <c r="C10" s="666">
        <v>67.609768385068804</v>
      </c>
      <c r="D10" s="666"/>
      <c r="E10" s="666"/>
      <c r="F10" s="666">
        <v>39.618964978277624</v>
      </c>
      <c r="G10" s="666">
        <v>60.381035021722383</v>
      </c>
      <c r="H10" s="369">
        <v>41.66</v>
      </c>
      <c r="I10" s="369">
        <v>56.87</v>
      </c>
      <c r="J10" s="369">
        <v>1.48</v>
      </c>
      <c r="K10" s="369">
        <v>43.08</v>
      </c>
      <c r="L10" s="369">
        <v>56.92</v>
      </c>
      <c r="M10" s="369"/>
      <c r="N10" s="369"/>
      <c r="O10" s="666">
        <v>0.45148703400000001</v>
      </c>
      <c r="P10" s="666">
        <v>99.548512970000004</v>
      </c>
      <c r="Q10" s="666">
        <v>27.295211559999998</v>
      </c>
      <c r="R10" s="666">
        <v>72.704788440000002</v>
      </c>
      <c r="S10" s="369">
        <v>93.097980103871095</v>
      </c>
      <c r="T10" s="369">
        <v>6.9020198961288397</v>
      </c>
      <c r="U10" s="369">
        <v>0</v>
      </c>
      <c r="V10" s="369">
        <v>0</v>
      </c>
      <c r="W10" s="369" t="s">
        <v>215</v>
      </c>
      <c r="X10" s="369" t="s">
        <v>215</v>
      </c>
      <c r="Y10" s="369">
        <v>54.198448050518522</v>
      </c>
      <c r="Z10" s="369">
        <v>45.801551949481471</v>
      </c>
    </row>
    <row r="11" spans="1:26">
      <c r="A11" s="825">
        <v>44048</v>
      </c>
      <c r="B11" s="666">
        <v>33.036061151514595</v>
      </c>
      <c r="C11" s="666">
        <v>66.963938848485398</v>
      </c>
      <c r="D11" s="666">
        <v>48.425275685853975</v>
      </c>
      <c r="E11" s="666">
        <v>51.574724314146025</v>
      </c>
      <c r="F11" s="666">
        <v>41.253630515101946</v>
      </c>
      <c r="G11" s="666">
        <v>58.746369484898054</v>
      </c>
      <c r="H11" s="369">
        <v>43.489080705325406</v>
      </c>
      <c r="I11" s="369">
        <v>55.321404058039533</v>
      </c>
      <c r="J11" s="369">
        <v>1.1895152366350599</v>
      </c>
      <c r="K11" s="369">
        <v>23.829255630843537</v>
      </c>
      <c r="L11" s="369">
        <v>76.170744369156466</v>
      </c>
      <c r="M11" s="369"/>
      <c r="N11" s="369"/>
      <c r="O11" s="666">
        <v>0.89602782957023608</v>
      </c>
      <c r="P11" s="666">
        <v>99.10397217042977</v>
      </c>
      <c r="Q11" s="666">
        <v>100</v>
      </c>
      <c r="R11" s="666">
        <v>0</v>
      </c>
      <c r="S11" s="369">
        <v>94.835678720969895</v>
      </c>
      <c r="T11" s="369">
        <v>5.1643212790300499</v>
      </c>
      <c r="U11" s="369">
        <v>0</v>
      </c>
      <c r="V11" s="369">
        <v>0</v>
      </c>
      <c r="W11" s="369" t="s">
        <v>215</v>
      </c>
      <c r="X11" s="369" t="s">
        <v>215</v>
      </c>
      <c r="Y11" s="369">
        <v>58.040692678827412</v>
      </c>
      <c r="Z11" s="369">
        <v>41.959307321172588</v>
      </c>
    </row>
    <row r="12" spans="1:26">
      <c r="A12" s="825">
        <v>44080</v>
      </c>
      <c r="B12" s="666">
        <v>33.385596883071301</v>
      </c>
      <c r="C12" s="666">
        <v>66.614403116928671</v>
      </c>
      <c r="D12" s="666">
        <v>53.550652186440232</v>
      </c>
      <c r="E12" s="666">
        <v>46.449347813559768</v>
      </c>
      <c r="F12" s="666">
        <v>39.143028076217234</v>
      </c>
      <c r="G12" s="666">
        <v>60.856971923782766</v>
      </c>
      <c r="H12" s="369">
        <v>45.33939711994536</v>
      </c>
      <c r="I12" s="369">
        <v>53.996649498868123</v>
      </c>
      <c r="J12" s="369">
        <v>0.66395338118652347</v>
      </c>
      <c r="K12" s="369">
        <v>17.823101958980924</v>
      </c>
      <c r="L12" s="369">
        <v>82.176898041019072</v>
      </c>
      <c r="M12" s="369"/>
      <c r="N12" s="369"/>
      <c r="O12" s="666">
        <v>0</v>
      </c>
      <c r="P12" s="666">
        <v>100</v>
      </c>
      <c r="Q12" s="666">
        <v>1.34</v>
      </c>
      <c r="R12" s="666">
        <v>98.66</v>
      </c>
      <c r="S12" s="369">
        <v>98.334216970277396</v>
      </c>
      <c r="T12" s="369">
        <v>1.66578302972259</v>
      </c>
      <c r="U12" s="369">
        <v>50</v>
      </c>
      <c r="V12" s="369">
        <v>50</v>
      </c>
      <c r="W12" s="369" t="s">
        <v>215</v>
      </c>
      <c r="X12" s="369" t="s">
        <v>215</v>
      </c>
      <c r="Y12" s="369">
        <v>53.400583023714432</v>
      </c>
      <c r="Z12" s="369">
        <v>46.599416976285561</v>
      </c>
    </row>
    <row r="13" spans="1:26">
      <c r="A13" s="825">
        <v>44111</v>
      </c>
      <c r="B13" s="666">
        <v>35.29628375034202</v>
      </c>
      <c r="C13" s="666">
        <v>64.703716249657973</v>
      </c>
      <c r="D13" s="666">
        <v>39.60862817537852</v>
      </c>
      <c r="E13" s="666">
        <v>60.391371824621473</v>
      </c>
      <c r="F13" s="666">
        <v>37.670794055525562</v>
      </c>
      <c r="G13" s="666">
        <v>62.329205944474438</v>
      </c>
      <c r="H13" s="369">
        <v>43.823944307641462</v>
      </c>
      <c r="I13" s="369">
        <v>55.189667542792698</v>
      </c>
      <c r="J13" s="369">
        <v>0.98638814956585819</v>
      </c>
      <c r="K13" s="369">
        <v>31.873286900670923</v>
      </c>
      <c r="L13" s="369">
        <v>68.126713099329066</v>
      </c>
      <c r="M13" s="369"/>
      <c r="N13" s="369"/>
      <c r="O13" s="666">
        <v>0</v>
      </c>
      <c r="P13" s="666">
        <v>0</v>
      </c>
      <c r="Q13" s="666">
        <v>0</v>
      </c>
      <c r="R13" s="666">
        <v>100</v>
      </c>
      <c r="S13" s="369">
        <v>93.124887750245804</v>
      </c>
      <c r="T13" s="369">
        <v>6.8751122497541104</v>
      </c>
      <c r="U13" s="369">
        <v>50</v>
      </c>
      <c r="V13" s="369">
        <v>50</v>
      </c>
      <c r="W13" s="369" t="s">
        <v>215</v>
      </c>
      <c r="X13" s="369" t="s">
        <v>215</v>
      </c>
      <c r="Y13" s="369">
        <v>53.128142534233469</v>
      </c>
      <c r="Z13" s="369">
        <v>46.871857465766531</v>
      </c>
    </row>
    <row r="14" spans="1:26">
      <c r="A14" s="825">
        <v>44143</v>
      </c>
      <c r="B14" s="666">
        <v>30.753857350362036</v>
      </c>
      <c r="C14" s="666">
        <v>69.24614264963796</v>
      </c>
      <c r="D14" s="666">
        <v>61.908862746438501</v>
      </c>
      <c r="E14" s="666">
        <v>38.091137253561499</v>
      </c>
      <c r="F14" s="666">
        <v>34.732337797457554</v>
      </c>
      <c r="G14" s="666">
        <v>65.267662202542454</v>
      </c>
      <c r="H14" s="369">
        <v>41.889619260005915</v>
      </c>
      <c r="I14" s="369">
        <v>56.895457053615772</v>
      </c>
      <c r="J14" s="369">
        <v>1.2149236863783106</v>
      </c>
      <c r="K14" s="369">
        <v>26.411008419294586</v>
      </c>
      <c r="L14" s="369">
        <v>73.588991580705425</v>
      </c>
      <c r="M14" s="369"/>
      <c r="N14" s="369"/>
      <c r="O14" s="666">
        <v>0</v>
      </c>
      <c r="P14" s="666">
        <v>0</v>
      </c>
      <c r="Q14" s="666">
        <v>1.2354012693368661</v>
      </c>
      <c r="R14" s="666">
        <v>98.764598730663138</v>
      </c>
      <c r="S14" s="369">
        <v>69.384427477749497</v>
      </c>
      <c r="T14" s="369">
        <v>30.6155725222504</v>
      </c>
      <c r="U14" s="369">
        <v>50</v>
      </c>
      <c r="V14" s="369">
        <v>50</v>
      </c>
      <c r="W14" s="369" t="s">
        <v>215</v>
      </c>
      <c r="X14" s="369" t="s">
        <v>215</v>
      </c>
      <c r="Y14" s="369">
        <v>53.119608528144667</v>
      </c>
      <c r="Z14" s="369">
        <v>46.88039147185534</v>
      </c>
    </row>
    <row r="15" spans="1:26">
      <c r="A15" s="825">
        <v>44174</v>
      </c>
      <c r="B15" s="666">
        <v>30.786967027069483</v>
      </c>
      <c r="C15" s="666">
        <v>69.213032972930506</v>
      </c>
      <c r="D15" s="666">
        <v>42.843925173396549</v>
      </c>
      <c r="E15" s="666">
        <v>57.156074826603451</v>
      </c>
      <c r="F15" s="666">
        <v>32.766096536155565</v>
      </c>
      <c r="G15" s="666">
        <v>67.233903463844442</v>
      </c>
      <c r="H15" s="369">
        <v>38.464219373995384</v>
      </c>
      <c r="I15" s="369">
        <v>60.07057568055945</v>
      </c>
      <c r="J15" s="369">
        <v>1.4652049454451628</v>
      </c>
      <c r="K15" s="369">
        <v>42.166560329825941</v>
      </c>
      <c r="L15" s="369">
        <v>57.833439670174059</v>
      </c>
      <c r="M15" s="369"/>
      <c r="N15" s="369"/>
      <c r="O15" s="666">
        <v>33.979999999999997</v>
      </c>
      <c r="P15" s="666">
        <v>66.02</v>
      </c>
      <c r="Q15" s="666">
        <v>30.25</v>
      </c>
      <c r="R15" s="666">
        <v>69.75</v>
      </c>
      <c r="S15" s="369">
        <v>65.160299871346297</v>
      </c>
      <c r="T15" s="369">
        <v>34.839700128653597</v>
      </c>
      <c r="U15" s="369">
        <v>50</v>
      </c>
      <c r="V15" s="369">
        <v>50</v>
      </c>
      <c r="W15" s="369">
        <v>97.056369116507597</v>
      </c>
      <c r="X15" s="369">
        <v>2.9436308834923901</v>
      </c>
      <c r="Y15" s="369">
        <v>58.254157156088638</v>
      </c>
      <c r="Z15" s="369">
        <v>41.745842843911369</v>
      </c>
    </row>
    <row r="16" spans="1:26">
      <c r="A16" s="825">
        <v>44206</v>
      </c>
      <c r="B16" s="666">
        <v>33.971936209031263</v>
      </c>
      <c r="C16" s="666">
        <v>66.028063790968744</v>
      </c>
      <c r="D16" s="666">
        <v>55.684342990399806</v>
      </c>
      <c r="E16" s="666">
        <v>44.315657009600194</v>
      </c>
      <c r="F16" s="666">
        <v>29.641281765588843</v>
      </c>
      <c r="G16" s="666">
        <v>70.358718234411157</v>
      </c>
      <c r="H16" s="369">
        <v>39.562943831763405</v>
      </c>
      <c r="I16" s="369">
        <v>58.515307698867304</v>
      </c>
      <c r="J16" s="369">
        <v>1.9217484693692963</v>
      </c>
      <c r="K16" s="369">
        <v>42.874604431156783</v>
      </c>
      <c r="L16" s="369">
        <v>57.125395568843217</v>
      </c>
      <c r="M16" s="369">
        <v>15.645436348864539</v>
      </c>
      <c r="N16" s="369">
        <v>84.354563651135464</v>
      </c>
      <c r="O16" s="666">
        <v>23.054267333881082</v>
      </c>
      <c r="P16" s="666">
        <v>76.945732666118914</v>
      </c>
      <c r="Q16" s="666">
        <v>37.638378811477452</v>
      </c>
      <c r="R16" s="666">
        <v>62.361621188522541</v>
      </c>
      <c r="S16" s="369">
        <v>54.872479524162962</v>
      </c>
      <c r="T16" s="369">
        <v>45.127520475837038</v>
      </c>
      <c r="U16" s="369">
        <v>50</v>
      </c>
      <c r="V16" s="369">
        <v>50</v>
      </c>
      <c r="W16" s="369">
        <v>98.776746217221287</v>
      </c>
      <c r="X16" s="369">
        <v>1.223253782778716</v>
      </c>
      <c r="Y16" s="369">
        <v>55.25532657092613</v>
      </c>
      <c r="Z16" s="369">
        <v>44.74467342907387</v>
      </c>
    </row>
    <row r="17" spans="1:26">
      <c r="A17" s="825">
        <v>44228</v>
      </c>
      <c r="B17" s="666">
        <v>34.158884013730564</v>
      </c>
      <c r="C17" s="666">
        <v>65.841115986269443</v>
      </c>
      <c r="D17" s="666">
        <v>45.559743534545518</v>
      </c>
      <c r="E17" s="666">
        <v>54.440256465454482</v>
      </c>
      <c r="F17" s="666">
        <v>29.082065853041584</v>
      </c>
      <c r="G17" s="666">
        <v>70.917934146958416</v>
      </c>
      <c r="H17" s="369">
        <v>39.775538485127882</v>
      </c>
      <c r="I17" s="369">
        <v>58.225048136863656</v>
      </c>
      <c r="J17" s="369">
        <v>1.999413378008466</v>
      </c>
      <c r="K17" s="369">
        <v>45.128498134328368</v>
      </c>
      <c r="L17" s="369">
        <v>54.862484452736318</v>
      </c>
      <c r="M17" s="369">
        <v>14.453139909735654</v>
      </c>
      <c r="N17" s="369">
        <v>85.541882656350751</v>
      </c>
      <c r="O17" s="666">
        <v>24.75</v>
      </c>
      <c r="P17" s="666">
        <v>75.25</v>
      </c>
      <c r="Q17" s="666">
        <v>35.229999999999997</v>
      </c>
      <c r="R17" s="666">
        <v>64.760000000000005</v>
      </c>
      <c r="S17" s="369">
        <v>48.123821659606101</v>
      </c>
      <c r="T17" s="369">
        <v>51.876178340393906</v>
      </c>
      <c r="U17" s="369">
        <v>50</v>
      </c>
      <c r="V17" s="369">
        <v>50</v>
      </c>
      <c r="W17" s="369">
        <v>99.075095509061143</v>
      </c>
      <c r="X17" s="369">
        <v>0.92490449093886107</v>
      </c>
      <c r="Y17" s="369">
        <v>66.068808543059347</v>
      </c>
      <c r="Z17" s="369">
        <v>33.931191456940653</v>
      </c>
    </row>
    <row r="18" spans="1:26">
      <c r="A18" s="969" t="str">
        <f>'[1]64'!A17</f>
        <v>$ indicates as on February 28, 2021</v>
      </c>
      <c r="B18" s="969"/>
      <c r="C18" s="969"/>
      <c r="D18" s="969"/>
      <c r="E18" s="969"/>
      <c r="F18" s="969"/>
      <c r="G18" s="969"/>
      <c r="O18" s="669"/>
      <c r="S18" s="669"/>
      <c r="T18" s="669"/>
    </row>
    <row r="19" spans="1:26">
      <c r="A19" s="969" t="s">
        <v>1112</v>
      </c>
      <c r="B19" s="969"/>
      <c r="C19" s="969"/>
      <c r="D19" s="969"/>
      <c r="E19" s="969"/>
      <c r="F19" s="969"/>
      <c r="G19" s="969"/>
      <c r="O19" s="669"/>
      <c r="S19" s="669"/>
      <c r="T19" s="669"/>
    </row>
    <row r="20" spans="1:26">
      <c r="A20" s="969" t="s">
        <v>1113</v>
      </c>
      <c r="B20" s="969"/>
      <c r="C20" s="969"/>
      <c r="D20" s="969"/>
      <c r="E20" s="969"/>
      <c r="F20" s="969"/>
      <c r="G20" s="969"/>
      <c r="O20" s="669"/>
      <c r="S20" s="669"/>
      <c r="T20" s="669"/>
    </row>
    <row r="21" spans="1:26">
      <c r="A21" s="969" t="s">
        <v>1195</v>
      </c>
      <c r="B21" s="969"/>
      <c r="C21" s="969"/>
      <c r="D21" s="969"/>
      <c r="E21" s="969"/>
      <c r="F21" s="969"/>
      <c r="G21" s="969"/>
      <c r="O21" s="669"/>
      <c r="S21" s="669"/>
      <c r="T21" s="669"/>
    </row>
    <row r="22" spans="1:26">
      <c r="A22" s="969" t="s">
        <v>1196</v>
      </c>
      <c r="B22" s="969"/>
      <c r="C22" s="969"/>
      <c r="D22" s="969"/>
      <c r="E22" s="969"/>
      <c r="F22" s="969"/>
      <c r="G22" s="969"/>
      <c r="O22" s="669"/>
      <c r="S22" s="669"/>
      <c r="T22" s="669"/>
    </row>
    <row r="23" spans="1:26">
      <c r="A23" s="681" t="s">
        <v>931</v>
      </c>
      <c r="D23" s="609"/>
      <c r="E23" s="609"/>
      <c r="G23" s="969"/>
      <c r="I23" s="609" t="s">
        <v>876</v>
      </c>
      <c r="P23" s="609" t="s">
        <v>876</v>
      </c>
      <c r="X23" s="609" t="s">
        <v>876</v>
      </c>
    </row>
    <row r="24" spans="1:26">
      <c r="D24" s="609"/>
      <c r="E24" s="609"/>
    </row>
    <row r="25" spans="1:26">
      <c r="D25" s="609"/>
      <c r="E25" s="609"/>
    </row>
    <row r="26" spans="1:26">
      <c r="D26" s="609"/>
      <c r="E26" s="609"/>
    </row>
    <row r="27" spans="1:26">
      <c r="D27" s="609"/>
      <c r="E27" s="609"/>
    </row>
    <row r="28" spans="1:26">
      <c r="D28" s="609"/>
      <c r="E28" s="609"/>
    </row>
    <row r="29" spans="1:26">
      <c r="D29" s="609"/>
      <c r="E29" s="609"/>
    </row>
    <row r="30" spans="1:26">
      <c r="D30" s="609"/>
      <c r="E30" s="609"/>
    </row>
    <row r="31" spans="1:26">
      <c r="D31" s="609"/>
      <c r="E31" s="609"/>
    </row>
    <row r="32" spans="1:26">
      <c r="D32" s="609"/>
      <c r="E32" s="609"/>
    </row>
    <row r="33" spans="4:5">
      <c r="D33" s="609"/>
      <c r="E33" s="609"/>
    </row>
    <row r="34" spans="4:5">
      <c r="D34" s="609"/>
      <c r="E34" s="609"/>
    </row>
    <row r="35" spans="4:5">
      <c r="D35" s="609"/>
      <c r="E35" s="609"/>
    </row>
    <row r="36" spans="4:5">
      <c r="D36" s="609"/>
      <c r="E36" s="609"/>
    </row>
    <row r="37" spans="4:5">
      <c r="D37" s="609"/>
      <c r="E37" s="609"/>
    </row>
    <row r="38" spans="4:5">
      <c r="D38" s="609"/>
      <c r="E38" s="609"/>
    </row>
    <row r="39" spans="4:5">
      <c r="D39" s="609"/>
      <c r="E39" s="609"/>
    </row>
    <row r="40" spans="4:5">
      <c r="D40" s="609"/>
      <c r="E40" s="609"/>
    </row>
    <row r="41" spans="4:5">
      <c r="D41" s="609"/>
      <c r="E41" s="609"/>
    </row>
    <row r="42" spans="4:5">
      <c r="D42" s="609"/>
      <c r="E42" s="609"/>
    </row>
    <row r="43" spans="4:5">
      <c r="D43" s="609"/>
      <c r="E43" s="609"/>
    </row>
    <row r="44" spans="4:5">
      <c r="D44" s="609"/>
      <c r="E44" s="609"/>
    </row>
    <row r="45" spans="4:5">
      <c r="D45" s="609"/>
      <c r="E45" s="609"/>
    </row>
    <row r="46" spans="4:5">
      <c r="D46" s="609"/>
      <c r="E46" s="609"/>
    </row>
    <row r="47" spans="4:5">
      <c r="D47" s="609"/>
      <c r="E47" s="609"/>
    </row>
    <row r="48" spans="4:5">
      <c r="D48" s="609"/>
      <c r="E48" s="609"/>
    </row>
    <row r="49" spans="4:5">
      <c r="D49" s="609"/>
      <c r="E49" s="609"/>
    </row>
  </sheetData>
  <mergeCells count="19">
    <mergeCell ref="W2:Z2"/>
    <mergeCell ref="F3:G3"/>
    <mergeCell ref="H3:J3"/>
    <mergeCell ref="Y3:Z3"/>
    <mergeCell ref="W3:X3"/>
    <mergeCell ref="U3:V3"/>
    <mergeCell ref="Q3:R3"/>
    <mergeCell ref="S3:T3"/>
    <mergeCell ref="B2:G2"/>
    <mergeCell ref="H2:N2"/>
    <mergeCell ref="O2:R2"/>
    <mergeCell ref="S2:V2"/>
    <mergeCell ref="A2:A4"/>
    <mergeCell ref="A1:T1"/>
    <mergeCell ref="B3:C3"/>
    <mergeCell ref="D3:E3"/>
    <mergeCell ref="K3:L3"/>
    <mergeCell ref="M3:N3"/>
    <mergeCell ref="O3:P3"/>
  </mergeCells>
  <pageMargins left="0.7" right="0.7" top="0.75" bottom="0.75" header="0.3" footer="0.3"/>
  <pageSetup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P307"/>
  <sheetViews>
    <sheetView zoomScale="85" zoomScaleNormal="85" zoomScaleSheetLayoutView="100" workbookViewId="0">
      <pane ySplit="3" topLeftCell="A4" activePane="bottomLeft" state="frozen"/>
      <selection pane="bottomLeft" activeCell="G47" sqref="G47"/>
    </sheetView>
  </sheetViews>
  <sheetFormatPr defaultColWidth="9.140625" defaultRowHeight="12.75"/>
  <cols>
    <col min="1" max="1" width="9.42578125" style="827" bestFit="1" customWidth="1"/>
    <col min="2" max="2" width="21.28515625" style="827" customWidth="1"/>
    <col min="3" max="3" width="11.42578125" style="860" customWidth="1"/>
    <col min="4" max="4" width="12.28515625" style="860" customWidth="1"/>
    <col min="5" max="5" width="10.5703125" style="827" customWidth="1"/>
    <col min="6" max="6" width="13" style="827" customWidth="1"/>
    <col min="7" max="7" width="9.5703125" style="862" customWidth="1"/>
    <col min="8" max="8" width="10.42578125" style="862" customWidth="1"/>
    <col min="9" max="9" width="9.7109375" style="827" customWidth="1"/>
    <col min="10" max="10" width="12.5703125" style="827" customWidth="1"/>
    <col min="11" max="11" width="10.42578125" style="862" customWidth="1"/>
    <col min="12" max="12" width="12" style="862" bestFit="1" customWidth="1"/>
    <col min="13" max="13" width="8.28515625" style="827" customWidth="1"/>
    <col min="14" max="16384" width="9.140625" style="827"/>
  </cols>
  <sheetData>
    <row r="1" spans="1:16" ht="15">
      <c r="A1" s="1479" t="s">
        <v>932</v>
      </c>
      <c r="B1" s="1479"/>
      <c r="C1" s="1479"/>
      <c r="D1" s="1479"/>
      <c r="E1" s="1479"/>
      <c r="F1" s="1479"/>
      <c r="G1" s="1479"/>
      <c r="H1" s="1479"/>
      <c r="I1" s="1479"/>
      <c r="J1" s="1479"/>
      <c r="K1" s="1479"/>
      <c r="L1" s="1479"/>
    </row>
    <row r="2" spans="1:16">
      <c r="A2" s="1465" t="s">
        <v>933</v>
      </c>
      <c r="B2" s="1517" t="s">
        <v>934</v>
      </c>
      <c r="C2" s="1518" t="s">
        <v>58</v>
      </c>
      <c r="D2" s="1519"/>
      <c r="E2" s="1520" t="s">
        <v>61</v>
      </c>
      <c r="F2" s="1521"/>
      <c r="G2" s="1520">
        <v>43862</v>
      </c>
      <c r="H2" s="1521"/>
      <c r="I2" s="1520">
        <v>44197</v>
      </c>
      <c r="J2" s="1521"/>
      <c r="K2" s="1520">
        <v>44228</v>
      </c>
      <c r="L2" s="1521"/>
    </row>
    <row r="3" spans="1:16" ht="38.25">
      <c r="A3" s="1465"/>
      <c r="B3" s="1517"/>
      <c r="C3" s="828" t="s">
        <v>910</v>
      </c>
      <c r="D3" s="828" t="s">
        <v>1097</v>
      </c>
      <c r="E3" s="828" t="s">
        <v>910</v>
      </c>
      <c r="F3" s="985" t="s">
        <v>1097</v>
      </c>
      <c r="G3" s="828" t="s">
        <v>910</v>
      </c>
      <c r="H3" s="985" t="s">
        <v>1097</v>
      </c>
      <c r="I3" s="828" t="s">
        <v>910</v>
      </c>
      <c r="J3" s="985" t="s">
        <v>1097</v>
      </c>
      <c r="K3" s="828" t="s">
        <v>910</v>
      </c>
      <c r="L3" s="985" t="s">
        <v>1097</v>
      </c>
    </row>
    <row r="4" spans="1:16" ht="15.75">
      <c r="A4" s="1524" t="s">
        <v>862</v>
      </c>
      <c r="B4" s="1524"/>
      <c r="C4" s="1524"/>
      <c r="D4" s="1524"/>
      <c r="E4" s="1524"/>
      <c r="F4" s="1524"/>
      <c r="G4" s="1524"/>
      <c r="H4" s="1524"/>
      <c r="I4" s="1524"/>
      <c r="J4" s="1524"/>
      <c r="K4" s="1524"/>
      <c r="L4" s="1524"/>
    </row>
    <row r="5" spans="1:16">
      <c r="A5" s="999" t="s">
        <v>702</v>
      </c>
      <c r="B5" s="1525" t="s">
        <v>888</v>
      </c>
      <c r="C5" s="1526"/>
      <c r="D5" s="1526"/>
      <c r="E5" s="1526"/>
      <c r="F5" s="1526"/>
      <c r="G5" s="1526"/>
      <c r="H5" s="1526"/>
      <c r="I5" s="1526"/>
      <c r="J5" s="1526"/>
      <c r="K5" s="1526"/>
      <c r="L5" s="1527"/>
      <c r="M5" s="1029"/>
      <c r="N5" s="1029"/>
    </row>
    <row r="6" spans="1:16">
      <c r="A6" s="829"/>
      <c r="B6" s="830" t="s">
        <v>935</v>
      </c>
      <c r="C6" s="831">
        <v>4.7192239860000003</v>
      </c>
      <c r="D6" s="830">
        <v>1776343.7174287003</v>
      </c>
      <c r="E6" s="832">
        <v>3.9314217310000004</v>
      </c>
      <c r="F6" s="832">
        <v>1942289.5371536985</v>
      </c>
      <c r="G6" s="832">
        <v>0.38741964299999987</v>
      </c>
      <c r="H6" s="832">
        <v>161360.23687729999</v>
      </c>
      <c r="I6" s="833">
        <v>0.31384013800000005</v>
      </c>
      <c r="J6" s="833">
        <v>155892.81935200008</v>
      </c>
      <c r="K6" s="834">
        <v>0.318828795</v>
      </c>
      <c r="L6" s="833">
        <v>150267.98759460001</v>
      </c>
      <c r="M6" s="835"/>
      <c r="N6" s="835"/>
      <c r="O6" s="835"/>
    </row>
    <row r="7" spans="1:16">
      <c r="A7" s="829"/>
      <c r="B7" s="830" t="s">
        <v>936</v>
      </c>
      <c r="C7" s="830">
        <v>263.221315</v>
      </c>
      <c r="D7" s="830">
        <v>1139189.8456671019</v>
      </c>
      <c r="E7" s="832">
        <v>373.16967599999992</v>
      </c>
      <c r="F7" s="832">
        <v>2270804.0503758015</v>
      </c>
      <c r="G7" s="832">
        <v>22.815291000000009</v>
      </c>
      <c r="H7" s="832">
        <v>106734.88623219999</v>
      </c>
      <c r="I7" s="833">
        <v>29.413910999999999</v>
      </c>
      <c r="J7" s="833">
        <v>198673.25372389995</v>
      </c>
      <c r="K7" s="836">
        <v>28.219187999999995</v>
      </c>
      <c r="L7" s="833">
        <v>197004.1722502</v>
      </c>
      <c r="M7" s="835"/>
      <c r="N7" s="835"/>
      <c r="O7" s="835"/>
    </row>
    <row r="8" spans="1:16" ht="13.5" thickBot="1">
      <c r="A8" s="829"/>
      <c r="B8" s="1030" t="s">
        <v>937</v>
      </c>
      <c r="C8" s="1030">
        <f>SUM(C6:C7)</f>
        <v>267.94053898599998</v>
      </c>
      <c r="D8" s="1030">
        <f>SUM(D6:D7)</f>
        <v>2915533.5630958024</v>
      </c>
      <c r="E8" s="1031">
        <f>SUM(E6:E7)</f>
        <v>377.10109773099992</v>
      </c>
      <c r="F8" s="1031">
        <f t="shared" ref="F8:L8" si="0">SUM(F6:F7)</f>
        <v>4213093.5875295</v>
      </c>
      <c r="G8" s="1031">
        <f t="shared" si="0"/>
        <v>23.20271064300001</v>
      </c>
      <c r="H8" s="1031">
        <f t="shared" si="0"/>
        <v>268095.12310949998</v>
      </c>
      <c r="I8" s="1031">
        <f>SUM(I6:I7)</f>
        <v>29.727751137999999</v>
      </c>
      <c r="J8" s="1031">
        <f>SUM(J6:J7)</f>
        <v>354566.07307590003</v>
      </c>
      <c r="K8" s="1031">
        <f t="shared" si="0"/>
        <v>28.538016794999997</v>
      </c>
      <c r="L8" s="1031">
        <f t="shared" si="0"/>
        <v>347272.15984480001</v>
      </c>
      <c r="M8" s="1032"/>
      <c r="N8" s="1032"/>
      <c r="O8" s="835"/>
    </row>
    <row r="9" spans="1:16" ht="12.75" customHeight="1">
      <c r="A9" s="837" t="s">
        <v>758</v>
      </c>
      <c r="B9" s="1528" t="s">
        <v>938</v>
      </c>
      <c r="C9" s="1529"/>
      <c r="D9" s="1529"/>
      <c r="E9" s="1529"/>
      <c r="F9" s="1529"/>
      <c r="G9" s="1529"/>
      <c r="H9" s="1529"/>
      <c r="I9" s="1529"/>
      <c r="J9" s="1529"/>
      <c r="K9" s="1529"/>
      <c r="L9" s="1530"/>
      <c r="M9" s="835"/>
      <c r="N9" s="835"/>
      <c r="O9" s="835"/>
    </row>
    <row r="10" spans="1:16">
      <c r="A10" s="829"/>
      <c r="B10" s="830" t="s">
        <v>939</v>
      </c>
      <c r="C10" s="830">
        <v>5357.2539999999999</v>
      </c>
      <c r="D10" s="830">
        <v>74320.623694999929</v>
      </c>
      <c r="E10" s="838">
        <v>2452.8589999999999</v>
      </c>
      <c r="F10" s="838">
        <v>37157.742679999974</v>
      </c>
      <c r="G10" s="832">
        <v>252.20500000000001</v>
      </c>
      <c r="H10" s="832">
        <v>3456.1767100000002</v>
      </c>
      <c r="I10" s="838">
        <v>244.54000000000002</v>
      </c>
      <c r="J10" s="838">
        <v>3998.7631250000004</v>
      </c>
      <c r="K10" s="836">
        <v>259.10500000000002</v>
      </c>
      <c r="L10" s="832">
        <v>4377.0730249999997</v>
      </c>
      <c r="M10" s="835"/>
      <c r="N10" s="835"/>
      <c r="O10" s="835"/>
      <c r="P10" s="835"/>
    </row>
    <row r="11" spans="1:16">
      <c r="A11" s="829"/>
      <c r="B11" s="830" t="s">
        <v>940</v>
      </c>
      <c r="C11" s="830">
        <v>10467.644</v>
      </c>
      <c r="D11" s="830">
        <v>454929.94498750014</v>
      </c>
      <c r="E11" s="838">
        <v>10320.015000000001</v>
      </c>
      <c r="F11" s="838">
        <v>548597.95686249994</v>
      </c>
      <c r="G11" s="832">
        <v>726.48500000000001</v>
      </c>
      <c r="H11" s="832">
        <v>31214.775037500003</v>
      </c>
      <c r="I11" s="838">
        <v>883.2974999999999</v>
      </c>
      <c r="J11" s="838">
        <v>53888.714012500008</v>
      </c>
      <c r="K11" s="836">
        <v>1160.5300000000002</v>
      </c>
      <c r="L11" s="832">
        <v>76803.7492375</v>
      </c>
      <c r="M11" s="835"/>
      <c r="N11" s="835"/>
      <c r="O11" s="835"/>
      <c r="P11" s="835"/>
    </row>
    <row r="12" spans="1:16">
      <c r="A12" s="829"/>
      <c r="B12" s="830" t="s">
        <v>941</v>
      </c>
      <c r="C12" s="830">
        <v>11670.041000000001</v>
      </c>
      <c r="D12" s="830">
        <v>171197.97619000002</v>
      </c>
      <c r="E12" s="838">
        <v>4313.1339999999991</v>
      </c>
      <c r="F12" s="838">
        <v>65166.33248500005</v>
      </c>
      <c r="G12" s="832">
        <v>351.56</v>
      </c>
      <c r="H12" s="832">
        <v>5085.4836799999994</v>
      </c>
      <c r="I12" s="838">
        <v>419.94499999999994</v>
      </c>
      <c r="J12" s="838">
        <v>6798.8591999999999</v>
      </c>
      <c r="K12" s="836">
        <v>414.18999999999994</v>
      </c>
      <c r="L12" s="832">
        <v>6991.809225</v>
      </c>
      <c r="M12" s="835"/>
      <c r="N12" s="839"/>
      <c r="O12" s="839"/>
      <c r="P12" s="839"/>
    </row>
    <row r="13" spans="1:16">
      <c r="A13" s="829"/>
      <c r="B13" s="830" t="s">
        <v>942</v>
      </c>
      <c r="C13" s="830">
        <v>4210.5061500000002</v>
      </c>
      <c r="D13" s="830">
        <v>421940.80258700001</v>
      </c>
      <c r="E13" s="838">
        <v>4764.9915000000001</v>
      </c>
      <c r="F13" s="838">
        <v>534905.42826000007</v>
      </c>
      <c r="G13" s="832">
        <v>471.49500000000006</v>
      </c>
      <c r="H13" s="832">
        <v>44377.272315000002</v>
      </c>
      <c r="I13" s="838">
        <v>401.3130000000001</v>
      </c>
      <c r="J13" s="838">
        <v>52265.512575000008</v>
      </c>
      <c r="K13" s="836">
        <v>400.04399999999998</v>
      </c>
      <c r="L13" s="832">
        <v>54457.340354999993</v>
      </c>
      <c r="M13" s="835"/>
      <c r="N13" s="835"/>
      <c r="O13" s="835"/>
      <c r="P13" s="835"/>
    </row>
    <row r="14" spans="1:16">
      <c r="A14" s="829"/>
      <c r="B14" s="830" t="s">
        <v>943</v>
      </c>
      <c r="C14" s="830">
        <v>23107.257999999998</v>
      </c>
      <c r="D14" s="830">
        <v>445905.12367500056</v>
      </c>
      <c r="E14" s="838">
        <v>12591.543</v>
      </c>
      <c r="F14" s="838">
        <v>242453.75360999993</v>
      </c>
      <c r="G14" s="832">
        <v>1133.5</v>
      </c>
      <c r="H14" s="832">
        <v>18743.667255</v>
      </c>
      <c r="I14" s="838">
        <v>1043.6049999999998</v>
      </c>
      <c r="J14" s="838">
        <v>22579.372675000002</v>
      </c>
      <c r="K14" s="836">
        <v>1197.24</v>
      </c>
      <c r="L14" s="832">
        <v>26428.416299999997</v>
      </c>
      <c r="M14" s="835"/>
      <c r="N14" s="835"/>
      <c r="O14" s="839"/>
      <c r="P14" s="839"/>
    </row>
    <row r="15" spans="1:16" ht="13.5" thickBot="1">
      <c r="A15" s="829"/>
      <c r="B15" s="1030" t="s">
        <v>944</v>
      </c>
      <c r="C15" s="1030">
        <f>SUM(C10:C14)</f>
        <v>54812.703150000001</v>
      </c>
      <c r="D15" s="1030">
        <f>SUM(D10:D14)</f>
        <v>1568294.4711345006</v>
      </c>
      <c r="E15" s="1031">
        <f>SUM(E10:E14)</f>
        <v>34442.542500000003</v>
      </c>
      <c r="F15" s="1031">
        <f t="shared" ref="F15:L15" si="1">SUM(F10:F14)</f>
        <v>1428281.2138975002</v>
      </c>
      <c r="G15" s="1031">
        <f t="shared" si="1"/>
        <v>2935.2449999999999</v>
      </c>
      <c r="H15" s="1031">
        <f t="shared" si="1"/>
        <v>102877.37499750001</v>
      </c>
      <c r="I15" s="1031">
        <f t="shared" si="1"/>
        <v>2992.7004999999999</v>
      </c>
      <c r="J15" s="1031">
        <f t="shared" si="1"/>
        <v>139531.22158750001</v>
      </c>
      <c r="K15" s="1031">
        <f t="shared" si="1"/>
        <v>3431.1090000000004</v>
      </c>
      <c r="L15" s="1031">
        <f t="shared" si="1"/>
        <v>169058.38814250001</v>
      </c>
      <c r="M15" s="1032"/>
      <c r="N15" s="1032"/>
      <c r="O15" s="835"/>
    </row>
    <row r="16" spans="1:16" ht="15" customHeight="1">
      <c r="A16" s="837" t="s">
        <v>771</v>
      </c>
      <c r="B16" s="1528" t="s">
        <v>945</v>
      </c>
      <c r="C16" s="1529"/>
      <c r="D16" s="1529"/>
      <c r="E16" s="1529"/>
      <c r="F16" s="1529"/>
      <c r="G16" s="1529"/>
      <c r="H16" s="1529"/>
      <c r="I16" s="1529"/>
      <c r="J16" s="1529"/>
      <c r="K16" s="1529"/>
      <c r="L16" s="1530"/>
      <c r="M16" s="835"/>
      <c r="N16" s="835"/>
      <c r="O16" s="835"/>
    </row>
    <row r="17" spans="1:15">
      <c r="A17" s="829"/>
      <c r="B17" s="830" t="s">
        <v>946</v>
      </c>
      <c r="C17" s="830">
        <v>1.1468000000000005</v>
      </c>
      <c r="D17" s="830">
        <v>313.30658700000026</v>
      </c>
      <c r="E17" s="838">
        <v>2.5299999999999986E-2</v>
      </c>
      <c r="F17" s="838">
        <v>4.2333680000000031</v>
      </c>
      <c r="G17" s="832">
        <v>4.5999999999999992E-2</v>
      </c>
      <c r="H17" s="832">
        <v>15.387574000000001</v>
      </c>
      <c r="I17" s="840">
        <v>6.0000000000000006E-4</v>
      </c>
      <c r="J17" s="841">
        <v>8.8104000000000002E-2</v>
      </c>
      <c r="K17" s="840">
        <v>0</v>
      </c>
      <c r="L17" s="841">
        <v>0</v>
      </c>
      <c r="M17" s="842"/>
      <c r="N17" s="835"/>
      <c r="O17" s="835"/>
    </row>
    <row r="18" spans="1:15">
      <c r="A18" s="829"/>
      <c r="B18" s="830" t="s">
        <v>947</v>
      </c>
      <c r="C18" s="830">
        <v>3045.1207499999996</v>
      </c>
      <c r="D18" s="830">
        <v>37145.596675000023</v>
      </c>
      <c r="E18" s="838">
        <v>1062.9250000000009</v>
      </c>
      <c r="F18" s="838">
        <v>11795.386150000002</v>
      </c>
      <c r="G18" s="832">
        <v>208.77700000000007</v>
      </c>
      <c r="H18" s="832">
        <v>2344.2195499999998</v>
      </c>
      <c r="I18" s="838">
        <v>158.98825000000002</v>
      </c>
      <c r="J18" s="838">
        <v>1986.027875</v>
      </c>
      <c r="K18" s="836">
        <v>207.42125000000001</v>
      </c>
      <c r="L18" s="832">
        <v>2652.6454249999997</v>
      </c>
      <c r="M18" s="835"/>
      <c r="N18" s="835"/>
      <c r="O18" s="835"/>
    </row>
    <row r="19" spans="1:15">
      <c r="A19" s="829"/>
      <c r="B19" s="830" t="s">
        <v>948</v>
      </c>
      <c r="C19" s="830">
        <v>8158.9499999999989</v>
      </c>
      <c r="D19" s="830">
        <v>52534.080239999996</v>
      </c>
      <c r="E19" s="838">
        <v>9002.3499999999967</v>
      </c>
      <c r="F19" s="838">
        <v>73674.933029999971</v>
      </c>
      <c r="G19" s="832">
        <v>1027.19</v>
      </c>
      <c r="H19" s="832">
        <v>7353.2311300000001</v>
      </c>
      <c r="I19" s="838">
        <v>1105.67</v>
      </c>
      <c r="J19" s="838">
        <v>10548.044880000001</v>
      </c>
      <c r="K19" s="836">
        <v>940.48000000000013</v>
      </c>
      <c r="L19" s="832">
        <v>9529.0541100000009</v>
      </c>
      <c r="M19" s="835"/>
      <c r="N19" s="835"/>
      <c r="O19" s="835"/>
    </row>
    <row r="20" spans="1:15" ht="12" customHeight="1">
      <c r="A20" s="829"/>
      <c r="B20" s="830" t="s">
        <v>949</v>
      </c>
      <c r="C20" s="830">
        <v>82.455479999999937</v>
      </c>
      <c r="D20" s="830">
        <v>10577.78167320001</v>
      </c>
      <c r="E20" s="838">
        <v>12.619439999999992</v>
      </c>
      <c r="F20" s="838">
        <v>1251.8331840000005</v>
      </c>
      <c r="G20" s="832">
        <v>4.1623199999999994</v>
      </c>
      <c r="H20" s="832">
        <v>489.17646719999988</v>
      </c>
      <c r="I20" s="838">
        <v>0.90935999999999995</v>
      </c>
      <c r="J20" s="838">
        <v>89.2811916</v>
      </c>
      <c r="K20" s="836">
        <v>0.68688000000000005</v>
      </c>
      <c r="L20" s="832">
        <v>65.866262399999997</v>
      </c>
      <c r="M20" s="835"/>
      <c r="N20" s="835"/>
      <c r="O20" s="835"/>
    </row>
    <row r="21" spans="1:15" ht="15" customHeight="1">
      <c r="A21" s="829"/>
      <c r="B21" s="830" t="s">
        <v>950</v>
      </c>
      <c r="C21" s="830">
        <v>65.78</v>
      </c>
      <c r="D21" s="830">
        <v>348.72735</v>
      </c>
      <c r="E21" s="838">
        <v>48.029000000000003</v>
      </c>
      <c r="F21" s="838">
        <v>284.43377600000002</v>
      </c>
      <c r="G21" s="838">
        <v>16.855999999999998</v>
      </c>
      <c r="H21" s="838">
        <v>87.764909999999986</v>
      </c>
      <c r="I21" s="838">
        <v>3.6900000000000013</v>
      </c>
      <c r="J21" s="838">
        <v>29.751643999999999</v>
      </c>
      <c r="K21" s="836">
        <v>4.277000000000001</v>
      </c>
      <c r="L21" s="832">
        <v>41.690978999999999</v>
      </c>
      <c r="M21" s="835"/>
      <c r="N21" s="835"/>
      <c r="O21" s="835"/>
    </row>
    <row r="22" spans="1:15" ht="13.5" customHeight="1" thickBot="1">
      <c r="A22" s="829"/>
      <c r="B22" s="1030" t="s">
        <v>951</v>
      </c>
      <c r="C22" s="1030">
        <f>SUM(C17:C21)</f>
        <v>11353.453029999999</v>
      </c>
      <c r="D22" s="1030">
        <f>SUM(D17:D21)</f>
        <v>100919.49252520002</v>
      </c>
      <c r="E22" s="1031">
        <f>SUM(E17:E21)</f>
        <v>10125.948739999998</v>
      </c>
      <c r="F22" s="1031">
        <f t="shared" ref="F22:L22" si="2">SUM(F17:F21)</f>
        <v>87010.819507999986</v>
      </c>
      <c r="G22" s="1031">
        <f t="shared" si="2"/>
        <v>1257.0313200000001</v>
      </c>
      <c r="H22" s="1031">
        <f t="shared" si="2"/>
        <v>10289.779631199999</v>
      </c>
      <c r="I22" s="1031">
        <f t="shared" si="2"/>
        <v>1269.2582100000002</v>
      </c>
      <c r="J22" s="1031">
        <f t="shared" si="2"/>
        <v>12653.193694600001</v>
      </c>
      <c r="K22" s="1031">
        <f t="shared" si="2"/>
        <v>1152.8651300000001</v>
      </c>
      <c r="L22" s="1031">
        <f t="shared" si="2"/>
        <v>12289.256776400001</v>
      </c>
      <c r="M22" s="1032"/>
      <c r="N22" s="1032"/>
      <c r="O22" s="835"/>
    </row>
    <row r="23" spans="1:15">
      <c r="A23" s="837" t="s">
        <v>952</v>
      </c>
      <c r="B23" s="1528" t="s">
        <v>889</v>
      </c>
      <c r="C23" s="1529"/>
      <c r="D23" s="1529"/>
      <c r="E23" s="1529"/>
      <c r="F23" s="1529"/>
      <c r="G23" s="1529"/>
      <c r="H23" s="1529"/>
      <c r="I23" s="1529"/>
      <c r="J23" s="1529"/>
      <c r="K23" s="1529"/>
      <c r="L23" s="1530"/>
      <c r="M23" s="835"/>
      <c r="N23" s="835"/>
      <c r="O23" s="835"/>
    </row>
    <row r="24" spans="1:15">
      <c r="A24" s="829"/>
      <c r="B24" s="830" t="s">
        <v>953</v>
      </c>
      <c r="C24" s="830">
        <v>1188816.1945911769</v>
      </c>
      <c r="D24" s="830">
        <v>3353599.834393003</v>
      </c>
      <c r="E24" s="836">
        <v>303024.11080585502</v>
      </c>
      <c r="F24" s="836">
        <v>608120.99588999955</v>
      </c>
      <c r="G24" s="832">
        <v>136010.24753831499</v>
      </c>
      <c r="H24" s="832">
        <v>361176.28073</v>
      </c>
      <c r="I24" s="838">
        <v>9493.1924978149982</v>
      </c>
      <c r="J24" s="838">
        <v>26378.780120000003</v>
      </c>
      <c r="K24" s="836">
        <v>23493.943041890001</v>
      </c>
      <c r="L24" s="832">
        <v>73884.187079999989</v>
      </c>
      <c r="M24" s="835"/>
      <c r="N24" s="835"/>
      <c r="O24" s="835"/>
    </row>
    <row r="25" spans="1:15" ht="13.5" customHeight="1">
      <c r="A25" s="829"/>
      <c r="B25" s="830" t="s">
        <v>954</v>
      </c>
      <c r="C25" s="830">
        <v>29170.883750000001</v>
      </c>
      <c r="D25" s="830">
        <v>459427.59590000007</v>
      </c>
      <c r="E25" s="843">
        <v>57296.555</v>
      </c>
      <c r="F25" s="843">
        <v>1029051.3554250007</v>
      </c>
      <c r="G25" s="844">
        <v>3744.0062499999999</v>
      </c>
      <c r="H25" s="844">
        <v>49820.281387499992</v>
      </c>
      <c r="I25" s="845">
        <v>5343.36625</v>
      </c>
      <c r="J25" s="845">
        <v>103744.61825000003</v>
      </c>
      <c r="K25" s="843">
        <v>6248.5512500000004</v>
      </c>
      <c r="L25" s="844">
        <v>133769.7025625</v>
      </c>
      <c r="M25" s="835"/>
      <c r="N25" s="835"/>
      <c r="O25" s="835"/>
    </row>
    <row r="26" spans="1:15" ht="13.5" thickBot="1">
      <c r="A26" s="837"/>
      <c r="B26" s="1030" t="s">
        <v>955</v>
      </c>
      <c r="C26" s="1030"/>
      <c r="D26" s="1030">
        <f>SUM(D24:D25)</f>
        <v>3813027.4302930031</v>
      </c>
      <c r="E26" s="1033"/>
      <c r="F26" s="1033">
        <f>SUM(F24:F25)</f>
        <v>1637172.3513150001</v>
      </c>
      <c r="G26" s="1034"/>
      <c r="H26" s="1034">
        <f>SUM(H24:H25)</f>
        <v>410996.5621175</v>
      </c>
      <c r="I26" s="1034"/>
      <c r="J26" s="1034">
        <f>SUM(J24:J25)</f>
        <v>130123.39837000004</v>
      </c>
      <c r="K26" s="1034"/>
      <c r="L26" s="1034">
        <f>SUM(L24:L25)</f>
        <v>207653.88964249997</v>
      </c>
      <c r="M26" s="1032"/>
      <c r="N26" s="1032"/>
      <c r="O26" s="835"/>
    </row>
    <row r="27" spans="1:15">
      <c r="A27" s="837" t="s">
        <v>956</v>
      </c>
      <c r="B27" s="1035" t="s">
        <v>535</v>
      </c>
      <c r="C27" s="1035"/>
      <c r="D27" s="1035"/>
      <c r="E27" s="1036"/>
      <c r="F27" s="1036"/>
      <c r="G27" s="1037"/>
      <c r="H27" s="1037"/>
      <c r="I27" s="1037"/>
      <c r="J27" s="1037"/>
      <c r="K27" s="1037"/>
      <c r="L27" s="1037"/>
      <c r="M27" s="1032"/>
      <c r="N27" s="1032"/>
      <c r="O27" s="835"/>
    </row>
    <row r="28" spans="1:15">
      <c r="A28" s="829"/>
      <c r="B28" s="830" t="s">
        <v>957</v>
      </c>
      <c r="C28" s="847" t="s">
        <v>215</v>
      </c>
      <c r="D28" s="847" t="s">
        <v>215</v>
      </c>
      <c r="E28" s="836">
        <v>475.40799999999973</v>
      </c>
      <c r="F28" s="836">
        <v>36799.438520000011</v>
      </c>
      <c r="G28" s="838" t="s">
        <v>215</v>
      </c>
      <c r="H28" s="838" t="s">
        <v>215</v>
      </c>
      <c r="I28" s="838">
        <v>73.087000000000018</v>
      </c>
      <c r="J28" s="838">
        <v>5679.2837799999998</v>
      </c>
      <c r="K28" s="838">
        <v>84.474000000000004</v>
      </c>
      <c r="L28" s="838">
        <v>6349.2554949999985</v>
      </c>
      <c r="M28" s="1032"/>
      <c r="N28" s="1032"/>
      <c r="O28" s="835"/>
    </row>
    <row r="29" spans="1:15">
      <c r="A29" s="829"/>
      <c r="B29" s="830" t="s">
        <v>958</v>
      </c>
      <c r="C29" s="847" t="s">
        <v>215</v>
      </c>
      <c r="D29" s="847" t="s">
        <v>215</v>
      </c>
      <c r="E29" s="836">
        <v>90.606999999999999</v>
      </c>
      <c r="F29" s="836">
        <v>6155.3168600000035</v>
      </c>
      <c r="G29" s="838" t="s">
        <v>215</v>
      </c>
      <c r="H29" s="838" t="s">
        <v>215</v>
      </c>
      <c r="I29" s="838">
        <v>17.245999999999999</v>
      </c>
      <c r="J29" s="838">
        <v>1181.5153599999999</v>
      </c>
      <c r="K29" s="838">
        <v>27.791</v>
      </c>
      <c r="L29" s="838">
        <v>2004.8310399999998</v>
      </c>
      <c r="M29" s="1032"/>
      <c r="N29" s="1032"/>
      <c r="O29" s="835"/>
    </row>
    <row r="30" spans="1:15" ht="13.5" thickBot="1">
      <c r="A30" s="1038"/>
      <c r="B30" s="1039" t="s">
        <v>959</v>
      </c>
      <c r="C30" s="1040"/>
      <c r="D30" s="1040">
        <f>SUM(D28:D29)</f>
        <v>0</v>
      </c>
      <c r="E30" s="1041"/>
      <c r="F30" s="1041">
        <f>SUM(F28:F29)</f>
        <v>42954.755380000017</v>
      </c>
      <c r="G30" s="1041"/>
      <c r="H30" s="1042">
        <f>SUM(H28:H29)</f>
        <v>0</v>
      </c>
      <c r="I30" s="1041"/>
      <c r="J30" s="1042">
        <f>SUM(J28:J29)</f>
        <v>6860.7991399999992</v>
      </c>
      <c r="K30" s="1041"/>
      <c r="L30" s="1042">
        <f>SUM(L28:L29)</f>
        <v>8354.0865349999985</v>
      </c>
      <c r="M30" s="1032"/>
      <c r="N30" s="1032"/>
      <c r="O30" s="835"/>
    </row>
    <row r="31" spans="1:15" ht="15" customHeight="1" thickBot="1">
      <c r="A31" s="1531" t="s">
        <v>960</v>
      </c>
      <c r="B31" s="1531"/>
      <c r="C31" s="1039">
        <f>SUM(C8,C15,C22,C24)</f>
        <v>1255250.291310163</v>
      </c>
      <c r="D31" s="1039">
        <f>SUM(D8,D15,D22,D26,D30)</f>
        <v>8397774.9570485055</v>
      </c>
      <c r="E31" s="1041">
        <f>SUM(E8,E15,E22,E24)</f>
        <v>347969.703143586</v>
      </c>
      <c r="F31" s="1041">
        <f>SUM(F8,F15,F22,F26,F30)</f>
        <v>7408512.7276300006</v>
      </c>
      <c r="G31" s="1041">
        <f>G30+G24+G22+G15+G8</f>
        <v>140225.72656895799</v>
      </c>
      <c r="H31" s="1041">
        <f>SUM(H8,H15,H22,H26,H30)</f>
        <v>792258.83985570003</v>
      </c>
      <c r="I31" s="1041">
        <f>I30+I24+I22+I15+I8</f>
        <v>13784.878958952997</v>
      </c>
      <c r="J31" s="1041">
        <f>SUM(J8,J15,J22,J26,J30)</f>
        <v>643734.68586800015</v>
      </c>
      <c r="K31" s="1041">
        <f>K30+K24+K22+K15+K8</f>
        <v>28106.455188684999</v>
      </c>
      <c r="L31" s="1041">
        <f>SUM(L8,L15,L22,L26,L30)</f>
        <v>744627.78094119998</v>
      </c>
      <c r="M31" s="835"/>
      <c r="N31" s="1032"/>
    </row>
    <row r="32" spans="1:15" ht="15" customHeight="1" thickBot="1">
      <c r="A32" s="1532"/>
      <c r="B32" s="1533"/>
      <c r="C32" s="1533"/>
      <c r="D32" s="1533"/>
      <c r="E32" s="1533"/>
      <c r="F32" s="1533"/>
      <c r="G32" s="1533"/>
      <c r="H32" s="1533"/>
      <c r="I32" s="1533"/>
      <c r="J32" s="1533"/>
      <c r="K32" s="1533"/>
      <c r="L32" s="1534"/>
      <c r="M32" s="835"/>
      <c r="N32" s="1032"/>
    </row>
    <row r="33" spans="1:14" ht="15" customHeight="1" thickBot="1">
      <c r="A33" s="1535" t="s">
        <v>863</v>
      </c>
      <c r="B33" s="1535"/>
      <c r="C33" s="1535"/>
      <c r="D33" s="1535"/>
      <c r="E33" s="1535"/>
      <c r="F33" s="1535"/>
      <c r="G33" s="1535"/>
      <c r="H33" s="1535"/>
      <c r="I33" s="1535"/>
      <c r="J33" s="1535"/>
      <c r="K33" s="1535"/>
      <c r="L33" s="1535"/>
    </row>
    <row r="34" spans="1:14" ht="15" customHeight="1">
      <c r="A34" s="1043" t="s">
        <v>961</v>
      </c>
      <c r="B34" s="1536" t="s">
        <v>888</v>
      </c>
      <c r="C34" s="1537"/>
      <c r="D34" s="1537"/>
      <c r="E34" s="1537"/>
      <c r="F34" s="1537"/>
      <c r="G34" s="1537"/>
      <c r="H34" s="1537"/>
      <c r="I34" s="1537"/>
      <c r="J34" s="1537"/>
      <c r="K34" s="1537"/>
      <c r="L34" s="1538"/>
    </row>
    <row r="35" spans="1:14" ht="15" customHeight="1">
      <c r="A35" s="829"/>
      <c r="B35" s="848" t="s">
        <v>962</v>
      </c>
      <c r="C35" s="849">
        <v>0.3771590000000003</v>
      </c>
      <c r="D35" s="849">
        <v>144222.89055500002</v>
      </c>
      <c r="E35" s="838">
        <v>0.29015389999999996</v>
      </c>
      <c r="F35" s="838">
        <v>144529.46652250006</v>
      </c>
      <c r="G35" s="850">
        <v>3.2346E-2</v>
      </c>
      <c r="H35" s="850">
        <v>13399.772815</v>
      </c>
      <c r="I35" s="838">
        <v>4.1370499999999998E-2</v>
      </c>
      <c r="J35" s="838">
        <v>20806.667319</v>
      </c>
      <c r="K35" s="838">
        <v>1.6981099999999999E-2</v>
      </c>
      <c r="L35" s="838">
        <v>8289.8638194999985</v>
      </c>
      <c r="M35" s="835"/>
    </row>
    <row r="36" spans="1:14" ht="15" customHeight="1">
      <c r="A36" s="829"/>
      <c r="B36" s="848" t="s">
        <v>936</v>
      </c>
      <c r="C36" s="849">
        <v>4.5992700000000006</v>
      </c>
      <c r="D36" s="849">
        <v>20431.882590000019</v>
      </c>
      <c r="E36" s="838">
        <v>5.3331599999999995</v>
      </c>
      <c r="F36" s="838">
        <v>33018.197240999987</v>
      </c>
      <c r="G36" s="850">
        <v>0.59874000000000005</v>
      </c>
      <c r="H36" s="832">
        <v>2842.1644769999998</v>
      </c>
      <c r="I36" s="850">
        <v>0.36263999999999996</v>
      </c>
      <c r="J36" s="850">
        <v>2410.4388225000002</v>
      </c>
      <c r="K36" s="838">
        <v>0.61572000000000005</v>
      </c>
      <c r="L36" s="838">
        <v>4198.1673510000001</v>
      </c>
      <c r="M36" s="835"/>
    </row>
    <row r="37" spans="1:14" ht="15" customHeight="1">
      <c r="A37" s="851"/>
      <c r="B37" s="995" t="s">
        <v>1197</v>
      </c>
      <c r="C37" s="994">
        <f>SUM(C35:C36)</f>
        <v>4.9764290000000013</v>
      </c>
      <c r="D37" s="994">
        <f>SUM(D35:D36)</f>
        <v>164654.77314500004</v>
      </c>
      <c r="E37" s="846">
        <f>SUM(E35:E36)</f>
        <v>5.6233138999999994</v>
      </c>
      <c r="F37" s="846">
        <f t="shared" ref="F37:L37" si="3">SUM(F35:F36)</f>
        <v>177547.66376350005</v>
      </c>
      <c r="G37" s="846">
        <f t="shared" si="3"/>
        <v>0.63108600000000004</v>
      </c>
      <c r="H37" s="846">
        <f t="shared" si="3"/>
        <v>16241.937292000001</v>
      </c>
      <c r="I37" s="846">
        <f t="shared" si="3"/>
        <v>0.40401049999999994</v>
      </c>
      <c r="J37" s="846">
        <f t="shared" si="3"/>
        <v>23217.1061415</v>
      </c>
      <c r="K37" s="846">
        <f t="shared" si="3"/>
        <v>0.63270110000000002</v>
      </c>
      <c r="L37" s="846">
        <f t="shared" si="3"/>
        <v>12488.031170499999</v>
      </c>
      <c r="M37" s="1032"/>
    </row>
    <row r="38" spans="1:14" ht="15" customHeight="1">
      <c r="A38" s="851" t="s">
        <v>963</v>
      </c>
      <c r="B38" s="1539" t="s">
        <v>964</v>
      </c>
      <c r="C38" s="1540"/>
      <c r="D38" s="1540"/>
      <c r="E38" s="1540"/>
      <c r="F38" s="1540"/>
      <c r="G38" s="1540"/>
      <c r="H38" s="1540"/>
      <c r="I38" s="1540"/>
      <c r="J38" s="1540"/>
      <c r="K38" s="1540"/>
      <c r="L38" s="1541"/>
      <c r="M38" s="835"/>
    </row>
    <row r="39" spans="1:14" ht="15" customHeight="1">
      <c r="A39" s="829"/>
      <c r="B39" s="831" t="s">
        <v>940</v>
      </c>
      <c r="C39" s="830">
        <v>23.172499999999999</v>
      </c>
      <c r="D39" s="830">
        <v>1023.3735255000004</v>
      </c>
      <c r="E39" s="838">
        <v>1.519999999999998</v>
      </c>
      <c r="F39" s="838">
        <v>75.041269999999997</v>
      </c>
      <c r="G39" s="841">
        <v>0.38250000000000006</v>
      </c>
      <c r="H39" s="841">
        <v>16.569487500000001</v>
      </c>
      <c r="I39" s="841">
        <v>5.5E-2</v>
      </c>
      <c r="J39" s="850">
        <v>3.4071899999999999</v>
      </c>
      <c r="K39" s="841">
        <v>0.1075</v>
      </c>
      <c r="L39" s="838">
        <v>7.0218399999999992</v>
      </c>
      <c r="M39" s="835"/>
    </row>
    <row r="40" spans="1:14" ht="15" customHeight="1">
      <c r="A40" s="829"/>
      <c r="B40" s="831" t="s">
        <v>943</v>
      </c>
      <c r="C40" s="830">
        <v>59.388000000000019</v>
      </c>
      <c r="D40" s="830">
        <v>1239.7838420000003</v>
      </c>
      <c r="E40" s="838">
        <v>0.22500000000000001</v>
      </c>
      <c r="F40" s="838">
        <v>3.8971750000000003</v>
      </c>
      <c r="G40" s="841">
        <v>0.17700000000000007</v>
      </c>
      <c r="H40" s="841">
        <v>3.1586919999999998</v>
      </c>
      <c r="I40" s="852">
        <v>0.01</v>
      </c>
      <c r="J40" s="852">
        <v>0.21842</v>
      </c>
      <c r="K40" s="840">
        <v>0</v>
      </c>
      <c r="L40" s="841">
        <v>0</v>
      </c>
      <c r="M40" s="835"/>
    </row>
    <row r="41" spans="1:14" ht="15" customHeight="1">
      <c r="A41" s="853"/>
      <c r="B41" s="995" t="s">
        <v>1198</v>
      </c>
      <c r="C41" s="994">
        <f>SUM(C39:C40)</f>
        <v>82.560500000000019</v>
      </c>
      <c r="D41" s="994">
        <f>SUM(D39:D40)</f>
        <v>2263.1573675000009</v>
      </c>
      <c r="E41" s="846">
        <f t="shared" ref="E41:L41" si="4">SUM(E39:E40)</f>
        <v>1.7449999999999981</v>
      </c>
      <c r="F41" s="846">
        <f t="shared" si="4"/>
        <v>78.938445000000002</v>
      </c>
      <c r="G41" s="854">
        <f t="shared" si="4"/>
        <v>0.55950000000000011</v>
      </c>
      <c r="H41" s="854">
        <f t="shared" si="4"/>
        <v>19.7281795</v>
      </c>
      <c r="I41" s="854">
        <f t="shared" si="4"/>
        <v>6.5000000000000002E-2</v>
      </c>
      <c r="J41" s="855">
        <f t="shared" si="4"/>
        <v>3.62561</v>
      </c>
      <c r="K41" s="854">
        <f t="shared" si="4"/>
        <v>0.1075</v>
      </c>
      <c r="L41" s="846">
        <f t="shared" si="4"/>
        <v>7.0218399999999992</v>
      </c>
      <c r="M41" s="1032"/>
    </row>
    <row r="42" spans="1:14" ht="15" customHeight="1">
      <c r="A42" s="851" t="s">
        <v>965</v>
      </c>
      <c r="B42" s="1539" t="s">
        <v>889</v>
      </c>
      <c r="C42" s="1540"/>
      <c r="D42" s="1540"/>
      <c r="E42" s="1540"/>
      <c r="F42" s="1540"/>
      <c r="G42" s="1540"/>
      <c r="H42" s="1540"/>
      <c r="I42" s="1540"/>
      <c r="J42" s="1540"/>
      <c r="K42" s="1540"/>
      <c r="L42" s="1541"/>
      <c r="M42" s="835"/>
    </row>
    <row r="43" spans="1:14" ht="15" customHeight="1">
      <c r="A43" s="829"/>
      <c r="B43" s="831" t="s">
        <v>953</v>
      </c>
      <c r="C43" s="830">
        <v>42609.19570651</v>
      </c>
      <c r="D43" s="830">
        <v>124824.73345399999</v>
      </c>
      <c r="E43" s="838">
        <v>14918.963381400012</v>
      </c>
      <c r="F43" s="838">
        <v>33002.509760000001</v>
      </c>
      <c r="G43" s="832">
        <v>6348.7859037900007</v>
      </c>
      <c r="H43" s="832">
        <v>17735.645689000001</v>
      </c>
      <c r="I43" s="850">
        <v>981.93725844000005</v>
      </c>
      <c r="J43" s="850">
        <v>2738.3543879999997</v>
      </c>
      <c r="K43" s="838">
        <v>1460.3001576000004</v>
      </c>
      <c r="L43" s="838">
        <v>4661.2576870000003</v>
      </c>
      <c r="M43" s="1032"/>
    </row>
    <row r="44" spans="1:14" ht="15" customHeight="1" thickBot="1">
      <c r="A44" s="829"/>
      <c r="B44" s="1044" t="s">
        <v>1199</v>
      </c>
      <c r="C44" s="1030">
        <f>SUM(C43)</f>
        <v>42609.19570651</v>
      </c>
      <c r="D44" s="1030">
        <f t="shared" ref="D44:L44" si="5">SUM(D43)</f>
        <v>124824.73345399999</v>
      </c>
      <c r="E44" s="1030">
        <f t="shared" si="5"/>
        <v>14918.963381400012</v>
      </c>
      <c r="F44" s="1030">
        <f t="shared" si="5"/>
        <v>33002.509760000001</v>
      </c>
      <c r="G44" s="1030">
        <f t="shared" si="5"/>
        <v>6348.7859037900007</v>
      </c>
      <c r="H44" s="1030">
        <f t="shared" si="5"/>
        <v>17735.645689000001</v>
      </c>
      <c r="I44" s="1030">
        <f t="shared" si="5"/>
        <v>981.93725844000005</v>
      </c>
      <c r="J44" s="1030">
        <f t="shared" si="5"/>
        <v>2738.3543879999997</v>
      </c>
      <c r="K44" s="1030">
        <f t="shared" si="5"/>
        <v>1460.3001576000004</v>
      </c>
      <c r="L44" s="1030">
        <f t="shared" si="5"/>
        <v>4661.2576870000003</v>
      </c>
      <c r="M44" s="1045"/>
      <c r="N44" s="860"/>
    </row>
    <row r="45" spans="1:14" ht="15" customHeight="1" thickBot="1">
      <c r="A45" s="1522" t="s">
        <v>966</v>
      </c>
      <c r="B45" s="1523"/>
      <c r="C45" s="1039">
        <f>SUM(C37,C41,C43)</f>
        <v>42696.732635510001</v>
      </c>
      <c r="D45" s="1039">
        <f>SUM(D37,D41,D43)</f>
        <v>291742.66396650003</v>
      </c>
      <c r="E45" s="1041">
        <f t="shared" ref="E45:L45" si="6">SUM(E37+E41+E43)</f>
        <v>14926.331695300012</v>
      </c>
      <c r="F45" s="1041">
        <f>SUM(F37+F41+F43)</f>
        <v>210629.11196850007</v>
      </c>
      <c r="G45" s="1041">
        <f>SUM(G37+G41+G43)</f>
        <v>6349.9764897900004</v>
      </c>
      <c r="H45" s="1041">
        <f>SUM(H37+H41+H43)</f>
        <v>33997.311160500001</v>
      </c>
      <c r="I45" s="1041">
        <f t="shared" si="6"/>
        <v>982.40626894000002</v>
      </c>
      <c r="J45" s="1041">
        <f t="shared" si="6"/>
        <v>25959.086139499999</v>
      </c>
      <c r="K45" s="1041">
        <f t="shared" si="6"/>
        <v>1461.0403587000003</v>
      </c>
      <c r="L45" s="1041">
        <f t="shared" si="6"/>
        <v>17156.310697499997</v>
      </c>
      <c r="M45" s="1046"/>
      <c r="N45" s="860"/>
    </row>
    <row r="46" spans="1:14">
      <c r="A46" s="856" t="str">
        <f>'[1]64'!A17</f>
        <v>$ indicates as on February 28, 2021</v>
      </c>
      <c r="B46" s="857"/>
      <c r="C46" s="857"/>
      <c r="D46" s="857"/>
      <c r="E46" s="860"/>
      <c r="F46" s="860"/>
      <c r="G46" s="860"/>
      <c r="H46" s="860"/>
      <c r="I46" s="860"/>
      <c r="J46" s="860"/>
      <c r="K46" s="860"/>
      <c r="L46" s="858"/>
      <c r="M46" s="860"/>
      <c r="N46" s="860"/>
    </row>
    <row r="47" spans="1:14">
      <c r="A47" s="856" t="s">
        <v>967</v>
      </c>
      <c r="B47" s="856"/>
      <c r="C47" s="856"/>
      <c r="D47" s="856"/>
      <c r="E47" s="856"/>
      <c r="F47" s="856"/>
      <c r="G47" s="856"/>
      <c r="H47" s="856"/>
      <c r="I47" s="856"/>
      <c r="J47" s="856" t="s">
        <v>876</v>
      </c>
      <c r="K47" s="856"/>
      <c r="L47" s="860" t="s">
        <v>876</v>
      </c>
      <c r="M47" s="860"/>
      <c r="N47" s="860"/>
    </row>
    <row r="48" spans="1:14">
      <c r="A48" s="856" t="s">
        <v>968</v>
      </c>
      <c r="B48" s="859"/>
      <c r="C48" s="859"/>
      <c r="D48" s="859"/>
      <c r="E48" s="859"/>
      <c r="F48" s="859"/>
      <c r="G48" s="856"/>
      <c r="H48" s="856"/>
      <c r="I48" s="990"/>
      <c r="J48" s="990"/>
      <c r="K48" s="990"/>
      <c r="L48" s="860" t="s">
        <v>876</v>
      </c>
      <c r="M48" s="860"/>
      <c r="N48" s="860"/>
    </row>
    <row r="49" spans="1:14">
      <c r="A49" s="990" t="s">
        <v>969</v>
      </c>
      <c r="B49" s="990"/>
      <c r="C49" s="990"/>
      <c r="D49" s="990"/>
      <c r="E49" s="990"/>
      <c r="F49" s="856"/>
      <c r="G49" s="856"/>
      <c r="H49" s="856"/>
      <c r="I49" s="856"/>
      <c r="J49" s="856"/>
      <c r="K49" s="856"/>
      <c r="L49" s="860"/>
      <c r="M49" s="860"/>
      <c r="N49" s="860"/>
    </row>
    <row r="50" spans="1:14">
      <c r="A50" s="1486" t="s">
        <v>970</v>
      </c>
      <c r="B50" s="1486"/>
      <c r="C50" s="1486"/>
      <c r="D50" s="1486"/>
      <c r="E50" s="1486"/>
      <c r="F50" s="1486"/>
      <c r="G50" s="1486"/>
      <c r="H50" s="1486"/>
      <c r="I50" s="1486"/>
      <c r="J50" s="1486"/>
      <c r="K50" s="1486"/>
      <c r="L50" s="860"/>
      <c r="M50" s="860"/>
      <c r="N50" s="860"/>
    </row>
    <row r="51" spans="1:14">
      <c r="A51" s="856" t="s">
        <v>971</v>
      </c>
      <c r="B51" s="856"/>
      <c r="C51" s="856"/>
      <c r="D51" s="856"/>
      <c r="E51" s="856"/>
      <c r="F51" s="990"/>
      <c r="G51" s="990"/>
      <c r="H51" s="990"/>
      <c r="I51" s="990"/>
      <c r="J51" s="990"/>
      <c r="K51" s="990"/>
      <c r="L51" s="860"/>
      <c r="M51" s="860"/>
      <c r="N51" s="860"/>
    </row>
    <row r="52" spans="1:14">
      <c r="A52" s="1014" t="s">
        <v>972</v>
      </c>
      <c r="B52" s="860"/>
      <c r="E52" s="860"/>
      <c r="F52" s="860"/>
      <c r="G52" s="860"/>
      <c r="H52" s="860"/>
      <c r="I52" s="860"/>
      <c r="J52" s="860"/>
      <c r="K52" s="1046"/>
      <c r="L52" s="860"/>
      <c r="M52" s="860"/>
      <c r="N52" s="860"/>
    </row>
    <row r="53" spans="1:14">
      <c r="A53" s="860"/>
      <c r="B53" s="860"/>
      <c r="E53" s="1047"/>
      <c r="F53" s="1047"/>
      <c r="G53" s="1047"/>
      <c r="H53" s="860"/>
      <c r="I53" s="1047"/>
      <c r="J53" s="1047"/>
      <c r="K53" s="1047"/>
      <c r="L53" s="1047"/>
      <c r="M53" s="860"/>
      <c r="N53" s="860"/>
    </row>
    <row r="54" spans="1:14">
      <c r="A54" s="860"/>
      <c r="B54" s="860"/>
      <c r="E54" s="860"/>
      <c r="F54" s="860"/>
      <c r="G54" s="860"/>
      <c r="H54" s="860"/>
      <c r="I54" s="860"/>
      <c r="J54" s="860"/>
      <c r="K54" s="860"/>
      <c r="L54" s="860"/>
      <c r="M54" s="860"/>
      <c r="N54" s="860"/>
    </row>
    <row r="55" spans="1:14">
      <c r="A55" s="860"/>
      <c r="B55" s="860"/>
      <c r="E55" s="860"/>
      <c r="F55" s="860"/>
      <c r="G55" s="860"/>
      <c r="H55" s="860"/>
      <c r="I55" s="860"/>
      <c r="J55" s="860"/>
      <c r="K55" s="860"/>
      <c r="L55" s="860"/>
      <c r="M55" s="860"/>
      <c r="N55" s="860"/>
    </row>
    <row r="56" spans="1:14">
      <c r="A56" s="860"/>
      <c r="B56" s="860"/>
      <c r="E56" s="860"/>
      <c r="F56" s="860"/>
      <c r="G56" s="860"/>
      <c r="H56" s="860"/>
      <c r="I56" s="860"/>
      <c r="J56" s="860"/>
      <c r="K56" s="860"/>
      <c r="L56" s="860"/>
      <c r="M56" s="860"/>
      <c r="N56" s="860"/>
    </row>
    <row r="57" spans="1:14">
      <c r="A57" s="860"/>
      <c r="B57" s="860"/>
      <c r="E57" s="860"/>
      <c r="F57" s="860"/>
      <c r="G57" s="860"/>
      <c r="H57" s="860"/>
      <c r="I57" s="860"/>
      <c r="J57" s="968"/>
      <c r="K57" s="860"/>
      <c r="L57" s="860"/>
      <c r="M57" s="860"/>
      <c r="N57" s="860"/>
    </row>
    <row r="58" spans="1:14">
      <c r="A58" s="860"/>
      <c r="B58" s="860"/>
      <c r="E58" s="860"/>
      <c r="F58" s="860"/>
      <c r="G58" s="860"/>
      <c r="H58" s="860"/>
      <c r="I58" s="860"/>
      <c r="J58" s="860"/>
      <c r="K58" s="860"/>
      <c r="L58" s="860"/>
      <c r="M58" s="860"/>
      <c r="N58" s="860"/>
    </row>
    <row r="59" spans="1:14">
      <c r="A59" s="860"/>
      <c r="B59" s="860"/>
      <c r="E59" s="860"/>
      <c r="F59" s="860"/>
      <c r="G59" s="860"/>
      <c r="H59" s="860"/>
      <c r="I59" s="860"/>
      <c r="J59" s="860"/>
      <c r="K59" s="860"/>
      <c r="L59" s="860"/>
      <c r="M59" s="860"/>
      <c r="N59" s="860"/>
    </row>
    <row r="60" spans="1:14">
      <c r="A60" s="860"/>
      <c r="B60" s="860"/>
      <c r="E60" s="860"/>
      <c r="F60" s="860"/>
      <c r="G60" s="860"/>
      <c r="H60" s="860"/>
      <c r="I60" s="860"/>
      <c r="J60" s="860"/>
      <c r="K60" s="861"/>
      <c r="L60" s="860"/>
      <c r="M60" s="860"/>
      <c r="N60" s="860"/>
    </row>
    <row r="61" spans="1:14">
      <c r="G61" s="860"/>
      <c r="H61" s="860"/>
      <c r="K61" s="861"/>
      <c r="L61" s="860"/>
    </row>
    <row r="62" spans="1:14">
      <c r="G62" s="860"/>
      <c r="H62" s="860"/>
      <c r="K62" s="861"/>
      <c r="L62" s="860"/>
    </row>
    <row r="63" spans="1:14">
      <c r="G63" s="860"/>
      <c r="H63" s="860"/>
      <c r="K63" s="861"/>
      <c r="L63" s="860"/>
    </row>
    <row r="64" spans="1:14">
      <c r="G64" s="860"/>
      <c r="H64" s="860"/>
      <c r="K64" s="861"/>
      <c r="L64" s="860"/>
    </row>
    <row r="65" spans="7:12">
      <c r="G65" s="860"/>
      <c r="H65" s="860"/>
      <c r="K65" s="861"/>
      <c r="L65" s="860"/>
    </row>
    <row r="66" spans="7:12">
      <c r="G66" s="860"/>
      <c r="H66" s="860"/>
      <c r="K66" s="861"/>
      <c r="L66" s="860"/>
    </row>
    <row r="67" spans="7:12">
      <c r="G67" s="860"/>
      <c r="H67" s="860"/>
      <c r="K67" s="861"/>
      <c r="L67" s="860"/>
    </row>
    <row r="68" spans="7:12">
      <c r="G68" s="860"/>
      <c r="H68" s="860"/>
      <c r="K68" s="860"/>
      <c r="L68" s="860"/>
    </row>
    <row r="69" spans="7:12">
      <c r="G69" s="860"/>
      <c r="H69" s="860"/>
      <c r="K69" s="860"/>
      <c r="L69" s="860"/>
    </row>
    <row r="70" spans="7:12">
      <c r="G70" s="860"/>
      <c r="H70" s="860"/>
      <c r="K70" s="860"/>
      <c r="L70" s="860"/>
    </row>
    <row r="71" spans="7:12">
      <c r="G71" s="860"/>
      <c r="H71" s="860"/>
      <c r="K71" s="860"/>
      <c r="L71" s="860"/>
    </row>
    <row r="72" spans="7:12">
      <c r="G72" s="860"/>
      <c r="H72" s="860"/>
      <c r="K72" s="860"/>
      <c r="L72" s="860"/>
    </row>
    <row r="73" spans="7:12">
      <c r="G73" s="860"/>
      <c r="H73" s="860"/>
      <c r="K73" s="860"/>
      <c r="L73" s="860"/>
    </row>
    <row r="74" spans="7:12">
      <c r="G74" s="860"/>
      <c r="H74" s="860"/>
      <c r="K74" s="860"/>
      <c r="L74" s="860"/>
    </row>
    <row r="75" spans="7:12">
      <c r="G75" s="860"/>
      <c r="H75" s="860"/>
      <c r="K75" s="860"/>
      <c r="L75" s="860"/>
    </row>
    <row r="76" spans="7:12">
      <c r="G76" s="860"/>
      <c r="H76" s="860"/>
      <c r="K76" s="860"/>
      <c r="L76" s="860"/>
    </row>
    <row r="77" spans="7:12">
      <c r="G77" s="860"/>
      <c r="H77" s="860"/>
      <c r="K77" s="860"/>
      <c r="L77" s="860"/>
    </row>
    <row r="78" spans="7:12">
      <c r="G78" s="860"/>
      <c r="H78" s="860"/>
      <c r="K78" s="860"/>
      <c r="L78" s="860"/>
    </row>
    <row r="79" spans="7:12">
      <c r="G79" s="860"/>
      <c r="H79" s="860"/>
      <c r="K79" s="860"/>
      <c r="L79" s="860"/>
    </row>
    <row r="80" spans="7:12">
      <c r="G80" s="860"/>
      <c r="H80" s="860"/>
      <c r="K80" s="860"/>
      <c r="L80" s="860"/>
    </row>
    <row r="81" spans="7:12">
      <c r="G81" s="860"/>
      <c r="H81" s="860"/>
      <c r="K81" s="860"/>
      <c r="L81" s="860"/>
    </row>
    <row r="82" spans="7:12">
      <c r="G82" s="860"/>
      <c r="H82" s="860"/>
      <c r="K82" s="860"/>
      <c r="L82" s="860"/>
    </row>
    <row r="83" spans="7:12">
      <c r="G83" s="860"/>
      <c r="H83" s="860"/>
      <c r="K83" s="860"/>
      <c r="L83" s="860"/>
    </row>
    <row r="84" spans="7:12">
      <c r="G84" s="860"/>
      <c r="H84" s="860"/>
      <c r="K84" s="860"/>
      <c r="L84" s="860"/>
    </row>
    <row r="85" spans="7:12">
      <c r="G85" s="860"/>
      <c r="H85" s="860"/>
      <c r="K85" s="860"/>
      <c r="L85" s="860"/>
    </row>
    <row r="86" spans="7:12">
      <c r="G86" s="860"/>
      <c r="H86" s="860"/>
      <c r="K86" s="860"/>
      <c r="L86" s="860"/>
    </row>
    <row r="87" spans="7:12">
      <c r="G87" s="860"/>
      <c r="H87" s="860"/>
      <c r="K87" s="860"/>
      <c r="L87" s="860"/>
    </row>
    <row r="88" spans="7:12">
      <c r="G88" s="860"/>
      <c r="H88" s="860"/>
      <c r="K88" s="860"/>
      <c r="L88" s="860"/>
    </row>
    <row r="89" spans="7:12">
      <c r="G89" s="860"/>
      <c r="H89" s="860"/>
      <c r="K89" s="860"/>
      <c r="L89" s="860"/>
    </row>
    <row r="90" spans="7:12">
      <c r="G90" s="860"/>
      <c r="H90" s="860"/>
      <c r="K90" s="860"/>
      <c r="L90" s="860"/>
    </row>
    <row r="91" spans="7:12">
      <c r="G91" s="860"/>
      <c r="H91" s="860"/>
      <c r="K91" s="860"/>
      <c r="L91" s="860"/>
    </row>
    <row r="92" spans="7:12">
      <c r="G92" s="860"/>
      <c r="H92" s="860"/>
      <c r="K92" s="860"/>
      <c r="L92" s="860"/>
    </row>
    <row r="93" spans="7:12">
      <c r="G93" s="860"/>
      <c r="H93" s="860"/>
      <c r="K93" s="860"/>
      <c r="L93" s="860"/>
    </row>
    <row r="94" spans="7:12">
      <c r="G94" s="860"/>
      <c r="H94" s="860"/>
      <c r="K94" s="860"/>
      <c r="L94" s="860"/>
    </row>
    <row r="95" spans="7:12">
      <c r="G95" s="860"/>
      <c r="H95" s="860"/>
      <c r="K95" s="860"/>
      <c r="L95" s="860"/>
    </row>
    <row r="96" spans="7:12">
      <c r="G96" s="860"/>
      <c r="H96" s="860"/>
      <c r="K96" s="860"/>
      <c r="L96" s="860"/>
    </row>
    <row r="97" spans="7:12">
      <c r="G97" s="860"/>
      <c r="H97" s="860"/>
      <c r="K97" s="860"/>
      <c r="L97" s="860"/>
    </row>
    <row r="98" spans="7:12">
      <c r="G98" s="860"/>
      <c r="H98" s="860"/>
      <c r="K98" s="860"/>
      <c r="L98" s="860"/>
    </row>
    <row r="99" spans="7:12">
      <c r="G99" s="860"/>
      <c r="H99" s="860"/>
      <c r="K99" s="860"/>
      <c r="L99" s="860"/>
    </row>
    <row r="100" spans="7:12">
      <c r="G100" s="860"/>
      <c r="H100" s="860"/>
      <c r="K100" s="860"/>
      <c r="L100" s="860"/>
    </row>
    <row r="101" spans="7:12">
      <c r="G101" s="860"/>
      <c r="H101" s="860"/>
      <c r="K101" s="860"/>
      <c r="L101" s="860"/>
    </row>
    <row r="102" spans="7:12">
      <c r="G102" s="860"/>
      <c r="H102" s="860"/>
      <c r="K102" s="860"/>
      <c r="L102" s="860"/>
    </row>
    <row r="103" spans="7:12">
      <c r="G103" s="860"/>
      <c r="H103" s="860"/>
      <c r="K103" s="860"/>
      <c r="L103" s="860"/>
    </row>
    <row r="104" spans="7:12">
      <c r="G104" s="860"/>
      <c r="H104" s="860"/>
      <c r="K104" s="860"/>
      <c r="L104" s="860"/>
    </row>
    <row r="105" spans="7:12">
      <c r="G105" s="860"/>
      <c r="H105" s="860"/>
      <c r="K105" s="860"/>
      <c r="L105" s="860"/>
    </row>
    <row r="106" spans="7:12">
      <c r="G106" s="860"/>
      <c r="H106" s="860"/>
      <c r="K106" s="860"/>
      <c r="L106" s="860"/>
    </row>
    <row r="107" spans="7:12">
      <c r="G107" s="860"/>
      <c r="H107" s="860"/>
      <c r="K107" s="860"/>
      <c r="L107" s="860"/>
    </row>
    <row r="108" spans="7:12">
      <c r="G108" s="860"/>
      <c r="H108" s="860"/>
      <c r="K108" s="860"/>
      <c r="L108" s="860"/>
    </row>
    <row r="109" spans="7:12">
      <c r="G109" s="860"/>
      <c r="H109" s="860"/>
      <c r="K109" s="860"/>
      <c r="L109" s="860"/>
    </row>
    <row r="110" spans="7:12">
      <c r="G110" s="860"/>
      <c r="H110" s="860"/>
      <c r="K110" s="860"/>
      <c r="L110" s="860"/>
    </row>
    <row r="111" spans="7:12">
      <c r="G111" s="860"/>
      <c r="H111" s="860"/>
      <c r="K111" s="860"/>
      <c r="L111" s="860"/>
    </row>
    <row r="112" spans="7:12">
      <c r="G112" s="860"/>
      <c r="H112" s="860"/>
      <c r="K112" s="860"/>
      <c r="L112" s="860"/>
    </row>
    <row r="113" spans="7:12">
      <c r="G113" s="860"/>
      <c r="H113" s="860"/>
      <c r="K113" s="860"/>
      <c r="L113" s="860"/>
    </row>
    <row r="114" spans="7:12">
      <c r="G114" s="860"/>
      <c r="H114" s="860"/>
      <c r="K114" s="860"/>
      <c r="L114" s="860"/>
    </row>
    <row r="115" spans="7:12">
      <c r="G115" s="860"/>
      <c r="H115" s="860"/>
      <c r="K115" s="860"/>
      <c r="L115" s="860"/>
    </row>
    <row r="116" spans="7:12">
      <c r="G116" s="860"/>
      <c r="H116" s="860"/>
      <c r="K116" s="860"/>
      <c r="L116" s="860"/>
    </row>
    <row r="117" spans="7:12">
      <c r="G117" s="860"/>
      <c r="H117" s="860"/>
      <c r="K117" s="860"/>
      <c r="L117" s="860"/>
    </row>
    <row r="118" spans="7:12">
      <c r="G118" s="860"/>
      <c r="H118" s="860"/>
      <c r="K118" s="860"/>
      <c r="L118" s="860"/>
    </row>
    <row r="119" spans="7:12">
      <c r="G119" s="860"/>
      <c r="H119" s="860"/>
      <c r="K119" s="860"/>
      <c r="L119" s="860"/>
    </row>
    <row r="120" spans="7:12">
      <c r="G120" s="860"/>
      <c r="H120" s="860"/>
      <c r="K120" s="860"/>
      <c r="L120" s="860"/>
    </row>
    <row r="121" spans="7:12">
      <c r="G121" s="860"/>
      <c r="H121" s="860"/>
      <c r="K121" s="860"/>
      <c r="L121" s="860"/>
    </row>
    <row r="122" spans="7:12">
      <c r="G122" s="860"/>
      <c r="H122" s="860"/>
      <c r="K122" s="860"/>
      <c r="L122" s="860"/>
    </row>
    <row r="123" spans="7:12">
      <c r="G123" s="860"/>
      <c r="H123" s="860"/>
      <c r="K123" s="860"/>
      <c r="L123" s="860"/>
    </row>
    <row r="124" spans="7:12">
      <c r="G124" s="860"/>
      <c r="H124" s="860"/>
      <c r="K124" s="860"/>
      <c r="L124" s="860"/>
    </row>
    <row r="125" spans="7:12">
      <c r="G125" s="860"/>
      <c r="H125" s="860"/>
      <c r="K125" s="860"/>
      <c r="L125" s="860"/>
    </row>
    <row r="126" spans="7:12">
      <c r="G126" s="860"/>
      <c r="H126" s="860"/>
      <c r="K126" s="860"/>
      <c r="L126" s="860"/>
    </row>
    <row r="127" spans="7:12">
      <c r="G127" s="860"/>
      <c r="H127" s="860"/>
      <c r="K127" s="860"/>
      <c r="L127" s="860"/>
    </row>
    <row r="128" spans="7:12">
      <c r="G128" s="860"/>
      <c r="H128" s="860"/>
      <c r="K128" s="860"/>
      <c r="L128" s="860"/>
    </row>
    <row r="129" spans="7:12">
      <c r="G129" s="860"/>
      <c r="H129" s="860"/>
      <c r="K129" s="860"/>
      <c r="L129" s="860"/>
    </row>
    <row r="130" spans="7:12">
      <c r="G130" s="860"/>
      <c r="H130" s="860"/>
      <c r="K130" s="860"/>
      <c r="L130" s="860"/>
    </row>
    <row r="131" spans="7:12">
      <c r="G131" s="860"/>
      <c r="H131" s="860"/>
      <c r="K131" s="860"/>
      <c r="L131" s="860"/>
    </row>
    <row r="132" spans="7:12">
      <c r="G132" s="860"/>
      <c r="H132" s="860"/>
      <c r="K132" s="860"/>
      <c r="L132" s="860"/>
    </row>
    <row r="133" spans="7:12">
      <c r="G133" s="860"/>
      <c r="H133" s="860"/>
      <c r="K133" s="860"/>
      <c r="L133" s="860"/>
    </row>
    <row r="134" spans="7:12">
      <c r="G134" s="860"/>
      <c r="H134" s="860"/>
      <c r="K134" s="860"/>
      <c r="L134" s="860"/>
    </row>
    <row r="135" spans="7:12">
      <c r="G135" s="860"/>
      <c r="H135" s="860"/>
      <c r="K135" s="860"/>
      <c r="L135" s="860"/>
    </row>
    <row r="136" spans="7:12">
      <c r="G136" s="860"/>
      <c r="H136" s="860"/>
      <c r="K136" s="860"/>
      <c r="L136" s="860"/>
    </row>
    <row r="137" spans="7:12">
      <c r="G137" s="860"/>
      <c r="H137" s="860"/>
      <c r="K137" s="860"/>
      <c r="L137" s="860"/>
    </row>
    <row r="138" spans="7:12">
      <c r="G138" s="860"/>
      <c r="H138" s="860"/>
      <c r="K138" s="860"/>
      <c r="L138" s="860"/>
    </row>
    <row r="139" spans="7:12">
      <c r="G139" s="860"/>
      <c r="H139" s="860"/>
      <c r="K139" s="860"/>
      <c r="L139" s="860"/>
    </row>
    <row r="140" spans="7:12">
      <c r="G140" s="860"/>
      <c r="H140" s="860"/>
      <c r="K140" s="860"/>
      <c r="L140" s="860"/>
    </row>
    <row r="141" spans="7:12">
      <c r="G141" s="860"/>
      <c r="H141" s="860"/>
      <c r="K141" s="860"/>
      <c r="L141" s="860"/>
    </row>
    <row r="142" spans="7:12">
      <c r="G142" s="860"/>
      <c r="H142" s="860"/>
      <c r="K142" s="860"/>
      <c r="L142" s="860"/>
    </row>
    <row r="143" spans="7:12">
      <c r="G143" s="860"/>
      <c r="H143" s="860"/>
      <c r="K143" s="860"/>
      <c r="L143" s="860"/>
    </row>
    <row r="144" spans="7:12">
      <c r="G144" s="860"/>
      <c r="H144" s="860"/>
      <c r="K144" s="860"/>
      <c r="L144" s="860"/>
    </row>
    <row r="145" spans="7:12">
      <c r="G145" s="860"/>
      <c r="H145" s="860"/>
      <c r="K145" s="860"/>
      <c r="L145" s="860"/>
    </row>
    <row r="146" spans="7:12">
      <c r="G146" s="860"/>
      <c r="H146" s="860"/>
      <c r="K146" s="860"/>
      <c r="L146" s="860"/>
    </row>
    <row r="147" spans="7:12">
      <c r="G147" s="860"/>
      <c r="H147" s="860"/>
      <c r="K147" s="860"/>
      <c r="L147" s="860"/>
    </row>
    <row r="148" spans="7:12">
      <c r="G148" s="860"/>
      <c r="H148" s="860"/>
      <c r="K148" s="860"/>
      <c r="L148" s="860"/>
    </row>
    <row r="149" spans="7:12">
      <c r="G149" s="860"/>
      <c r="H149" s="860"/>
      <c r="K149" s="860"/>
      <c r="L149" s="860"/>
    </row>
    <row r="150" spans="7:12">
      <c r="G150" s="860"/>
      <c r="H150" s="860"/>
      <c r="K150" s="860"/>
      <c r="L150" s="860"/>
    </row>
    <row r="151" spans="7:12">
      <c r="G151" s="860"/>
      <c r="H151" s="860"/>
      <c r="K151" s="860"/>
      <c r="L151" s="860"/>
    </row>
    <row r="152" spans="7:12">
      <c r="G152" s="860"/>
      <c r="H152" s="860"/>
      <c r="K152" s="860"/>
      <c r="L152" s="860"/>
    </row>
    <row r="153" spans="7:12">
      <c r="G153" s="860"/>
      <c r="H153" s="860"/>
      <c r="K153" s="860"/>
      <c r="L153" s="860"/>
    </row>
    <row r="154" spans="7:12">
      <c r="G154" s="860"/>
      <c r="H154" s="860"/>
      <c r="K154" s="860"/>
      <c r="L154" s="860"/>
    </row>
    <row r="155" spans="7:12">
      <c r="G155" s="860"/>
      <c r="H155" s="860"/>
      <c r="K155" s="860"/>
      <c r="L155" s="860"/>
    </row>
    <row r="156" spans="7:12">
      <c r="G156" s="860"/>
      <c r="H156" s="860"/>
      <c r="K156" s="860"/>
      <c r="L156" s="860"/>
    </row>
    <row r="157" spans="7:12">
      <c r="G157" s="860"/>
      <c r="H157" s="860"/>
      <c r="K157" s="860"/>
      <c r="L157" s="860"/>
    </row>
    <row r="158" spans="7:12">
      <c r="G158" s="860"/>
      <c r="H158" s="860"/>
      <c r="K158" s="860"/>
      <c r="L158" s="860"/>
    </row>
    <row r="159" spans="7:12">
      <c r="G159" s="860"/>
      <c r="H159" s="860"/>
      <c r="K159" s="860"/>
      <c r="L159" s="860"/>
    </row>
    <row r="160" spans="7:12">
      <c r="G160" s="860"/>
      <c r="H160" s="860"/>
      <c r="K160" s="860"/>
      <c r="L160" s="860"/>
    </row>
    <row r="161" spans="7:12">
      <c r="G161" s="860"/>
      <c r="H161" s="860"/>
      <c r="K161" s="860"/>
      <c r="L161" s="860"/>
    </row>
    <row r="162" spans="7:12">
      <c r="G162" s="860"/>
      <c r="H162" s="860"/>
      <c r="K162" s="860"/>
      <c r="L162" s="860"/>
    </row>
    <row r="163" spans="7:12">
      <c r="G163" s="860"/>
      <c r="H163" s="860"/>
      <c r="K163" s="860"/>
      <c r="L163" s="860"/>
    </row>
    <row r="164" spans="7:12">
      <c r="G164" s="860"/>
      <c r="H164" s="860"/>
      <c r="K164" s="860"/>
      <c r="L164" s="860"/>
    </row>
    <row r="165" spans="7:12">
      <c r="G165" s="860"/>
      <c r="H165" s="860"/>
      <c r="K165" s="860"/>
      <c r="L165" s="860"/>
    </row>
    <row r="166" spans="7:12">
      <c r="G166" s="860"/>
      <c r="H166" s="860"/>
      <c r="K166" s="860"/>
      <c r="L166" s="860"/>
    </row>
    <row r="167" spans="7:12">
      <c r="G167" s="860"/>
      <c r="H167" s="860"/>
      <c r="K167" s="860"/>
      <c r="L167" s="860"/>
    </row>
    <row r="168" spans="7:12">
      <c r="G168" s="860"/>
      <c r="H168" s="860"/>
      <c r="K168" s="860"/>
      <c r="L168" s="860"/>
    </row>
    <row r="169" spans="7:12">
      <c r="G169" s="860"/>
      <c r="H169" s="860"/>
      <c r="K169" s="860"/>
      <c r="L169" s="860"/>
    </row>
    <row r="170" spans="7:12">
      <c r="G170" s="860"/>
      <c r="H170" s="860"/>
      <c r="K170" s="860"/>
      <c r="L170" s="860"/>
    </row>
    <row r="171" spans="7:12">
      <c r="G171" s="860"/>
      <c r="H171" s="860"/>
      <c r="K171" s="860"/>
      <c r="L171" s="860"/>
    </row>
    <row r="172" spans="7:12">
      <c r="G172" s="860"/>
      <c r="H172" s="860"/>
      <c r="K172" s="860"/>
      <c r="L172" s="860"/>
    </row>
    <row r="173" spans="7:12">
      <c r="G173" s="860"/>
      <c r="H173" s="860"/>
      <c r="K173" s="860"/>
      <c r="L173" s="860"/>
    </row>
    <row r="174" spans="7:12">
      <c r="G174" s="860"/>
      <c r="H174" s="860"/>
      <c r="K174" s="860"/>
      <c r="L174" s="860"/>
    </row>
    <row r="175" spans="7:12">
      <c r="G175" s="860"/>
      <c r="H175" s="860"/>
      <c r="K175" s="860"/>
      <c r="L175" s="860"/>
    </row>
    <row r="176" spans="7:12">
      <c r="G176" s="860"/>
      <c r="H176" s="860"/>
      <c r="K176" s="860"/>
      <c r="L176" s="860"/>
    </row>
    <row r="177" spans="7:12">
      <c r="G177" s="860"/>
      <c r="H177" s="860"/>
      <c r="K177" s="860"/>
      <c r="L177" s="860"/>
    </row>
    <row r="178" spans="7:12">
      <c r="G178" s="860"/>
      <c r="H178" s="860"/>
      <c r="K178" s="860"/>
      <c r="L178" s="860"/>
    </row>
    <row r="179" spans="7:12">
      <c r="G179" s="860"/>
      <c r="H179" s="860"/>
      <c r="K179" s="860"/>
      <c r="L179" s="860"/>
    </row>
    <row r="180" spans="7:12">
      <c r="G180" s="860"/>
      <c r="H180" s="860"/>
      <c r="K180" s="860"/>
      <c r="L180" s="860"/>
    </row>
    <row r="181" spans="7:12">
      <c r="G181" s="860"/>
      <c r="H181" s="860"/>
      <c r="K181" s="860"/>
      <c r="L181" s="860"/>
    </row>
    <row r="182" spans="7:12">
      <c r="G182" s="860"/>
      <c r="H182" s="860"/>
      <c r="K182" s="860"/>
      <c r="L182" s="860"/>
    </row>
    <row r="183" spans="7:12">
      <c r="G183" s="860"/>
      <c r="H183" s="860"/>
      <c r="K183" s="860"/>
      <c r="L183" s="860"/>
    </row>
    <row r="184" spans="7:12">
      <c r="G184" s="860"/>
      <c r="H184" s="860"/>
      <c r="K184" s="860"/>
      <c r="L184" s="860"/>
    </row>
    <row r="185" spans="7:12">
      <c r="G185" s="860"/>
      <c r="H185" s="860"/>
      <c r="K185" s="860"/>
      <c r="L185" s="860"/>
    </row>
    <row r="186" spans="7:12">
      <c r="G186" s="860"/>
      <c r="H186" s="860"/>
      <c r="K186" s="860"/>
      <c r="L186" s="860"/>
    </row>
    <row r="187" spans="7:12">
      <c r="G187" s="860"/>
      <c r="H187" s="860"/>
      <c r="K187" s="860"/>
      <c r="L187" s="860"/>
    </row>
    <row r="188" spans="7:12">
      <c r="G188" s="860"/>
      <c r="H188" s="860"/>
      <c r="K188" s="860"/>
      <c r="L188" s="860"/>
    </row>
    <row r="189" spans="7:12">
      <c r="G189" s="860"/>
      <c r="H189" s="860"/>
      <c r="K189" s="860"/>
      <c r="L189" s="860"/>
    </row>
    <row r="190" spans="7:12">
      <c r="G190" s="860"/>
      <c r="H190" s="860"/>
      <c r="K190" s="860"/>
      <c r="L190" s="860"/>
    </row>
    <row r="191" spans="7:12">
      <c r="G191" s="860"/>
      <c r="H191" s="860"/>
      <c r="K191" s="860"/>
      <c r="L191" s="860"/>
    </row>
    <row r="192" spans="7:12">
      <c r="G192" s="860"/>
      <c r="H192" s="860"/>
      <c r="K192" s="860"/>
      <c r="L192" s="860"/>
    </row>
    <row r="193" spans="7:12">
      <c r="G193" s="860"/>
      <c r="H193" s="860"/>
      <c r="K193" s="860"/>
      <c r="L193" s="860"/>
    </row>
    <row r="194" spans="7:12">
      <c r="G194" s="860"/>
      <c r="H194" s="860"/>
      <c r="K194" s="860"/>
      <c r="L194" s="860"/>
    </row>
    <row r="195" spans="7:12">
      <c r="G195" s="860"/>
      <c r="H195" s="860"/>
      <c r="K195" s="860"/>
      <c r="L195" s="860"/>
    </row>
    <row r="196" spans="7:12">
      <c r="G196" s="860"/>
      <c r="H196" s="860"/>
      <c r="K196" s="860"/>
      <c r="L196" s="860"/>
    </row>
    <row r="197" spans="7:12">
      <c r="G197" s="860"/>
      <c r="H197" s="860"/>
      <c r="K197" s="860"/>
      <c r="L197" s="860"/>
    </row>
    <row r="198" spans="7:12">
      <c r="G198" s="860"/>
      <c r="H198" s="860"/>
      <c r="K198" s="860"/>
      <c r="L198" s="860"/>
    </row>
    <row r="199" spans="7:12">
      <c r="G199" s="860"/>
      <c r="H199" s="860"/>
      <c r="K199" s="860"/>
      <c r="L199" s="860"/>
    </row>
    <row r="200" spans="7:12">
      <c r="G200" s="860"/>
      <c r="H200" s="860"/>
      <c r="K200" s="860"/>
      <c r="L200" s="860"/>
    </row>
    <row r="201" spans="7:12">
      <c r="G201" s="860"/>
      <c r="H201" s="860"/>
      <c r="K201" s="860"/>
      <c r="L201" s="860"/>
    </row>
    <row r="202" spans="7:12">
      <c r="G202" s="860"/>
      <c r="H202" s="860"/>
      <c r="K202" s="860"/>
      <c r="L202" s="860"/>
    </row>
    <row r="203" spans="7:12">
      <c r="G203" s="860"/>
      <c r="H203" s="860"/>
      <c r="K203" s="860"/>
      <c r="L203" s="860"/>
    </row>
    <row r="204" spans="7:12">
      <c r="G204" s="860"/>
      <c r="H204" s="860"/>
      <c r="K204" s="860"/>
      <c r="L204" s="860"/>
    </row>
    <row r="205" spans="7:12">
      <c r="G205" s="860"/>
      <c r="H205" s="860"/>
      <c r="K205" s="860"/>
      <c r="L205" s="860"/>
    </row>
    <row r="206" spans="7:12">
      <c r="G206" s="860"/>
      <c r="H206" s="860"/>
      <c r="K206" s="860"/>
      <c r="L206" s="860"/>
    </row>
    <row r="207" spans="7:12">
      <c r="G207" s="860"/>
      <c r="H207" s="860"/>
      <c r="K207" s="860"/>
      <c r="L207" s="860"/>
    </row>
    <row r="208" spans="7:12">
      <c r="G208" s="860"/>
      <c r="H208" s="860"/>
      <c r="K208" s="860"/>
      <c r="L208" s="860"/>
    </row>
    <row r="209" spans="7:12">
      <c r="G209" s="860"/>
      <c r="H209" s="860"/>
      <c r="K209" s="860"/>
      <c r="L209" s="860"/>
    </row>
    <row r="210" spans="7:12">
      <c r="G210" s="860"/>
      <c r="H210" s="860"/>
      <c r="K210" s="860"/>
      <c r="L210" s="860"/>
    </row>
    <row r="211" spans="7:12">
      <c r="G211" s="860"/>
      <c r="H211" s="860"/>
      <c r="K211" s="860"/>
      <c r="L211" s="860"/>
    </row>
    <row r="212" spans="7:12">
      <c r="G212" s="860"/>
      <c r="H212" s="860"/>
      <c r="K212" s="860"/>
      <c r="L212" s="860"/>
    </row>
    <row r="213" spans="7:12">
      <c r="G213" s="860"/>
      <c r="H213" s="860"/>
      <c r="K213" s="860"/>
      <c r="L213" s="860"/>
    </row>
    <row r="214" spans="7:12">
      <c r="G214" s="860"/>
      <c r="H214" s="860"/>
      <c r="K214" s="860"/>
      <c r="L214" s="860"/>
    </row>
    <row r="215" spans="7:12">
      <c r="G215" s="860"/>
      <c r="H215" s="860"/>
      <c r="K215" s="860"/>
      <c r="L215" s="860"/>
    </row>
    <row r="216" spans="7:12">
      <c r="G216" s="860"/>
      <c r="H216" s="860"/>
      <c r="K216" s="860"/>
      <c r="L216" s="860"/>
    </row>
    <row r="217" spans="7:12">
      <c r="G217" s="860"/>
      <c r="H217" s="860"/>
      <c r="K217" s="860"/>
      <c r="L217" s="860"/>
    </row>
    <row r="218" spans="7:12">
      <c r="G218" s="860"/>
      <c r="H218" s="860"/>
      <c r="K218" s="860"/>
      <c r="L218" s="860"/>
    </row>
    <row r="219" spans="7:12">
      <c r="G219" s="860"/>
      <c r="H219" s="860"/>
      <c r="K219" s="860"/>
      <c r="L219" s="860"/>
    </row>
    <row r="220" spans="7:12">
      <c r="G220" s="860"/>
      <c r="H220" s="860"/>
      <c r="K220" s="860"/>
      <c r="L220" s="860"/>
    </row>
    <row r="221" spans="7:12">
      <c r="G221" s="860"/>
      <c r="H221" s="860"/>
      <c r="K221" s="860"/>
      <c r="L221" s="860"/>
    </row>
    <row r="222" spans="7:12">
      <c r="G222" s="860"/>
      <c r="H222" s="860"/>
      <c r="K222" s="860"/>
      <c r="L222" s="860"/>
    </row>
    <row r="223" spans="7:12">
      <c r="G223" s="860"/>
      <c r="H223" s="860"/>
      <c r="K223" s="860"/>
      <c r="L223" s="860"/>
    </row>
    <row r="224" spans="7:12">
      <c r="G224" s="860"/>
      <c r="H224" s="860"/>
      <c r="K224" s="860"/>
      <c r="L224" s="860"/>
    </row>
    <row r="225" spans="7:12">
      <c r="G225" s="860"/>
      <c r="H225" s="860"/>
      <c r="K225" s="860"/>
      <c r="L225" s="860"/>
    </row>
    <row r="226" spans="7:12">
      <c r="G226" s="860"/>
      <c r="H226" s="860"/>
      <c r="K226" s="860"/>
      <c r="L226" s="860"/>
    </row>
    <row r="227" spans="7:12">
      <c r="G227" s="860"/>
      <c r="H227" s="860"/>
      <c r="K227" s="860"/>
      <c r="L227" s="860"/>
    </row>
    <row r="228" spans="7:12">
      <c r="G228" s="860"/>
      <c r="H228" s="860"/>
      <c r="K228" s="860"/>
      <c r="L228" s="860"/>
    </row>
    <row r="229" spans="7:12">
      <c r="G229" s="860"/>
      <c r="H229" s="860"/>
      <c r="K229" s="860"/>
      <c r="L229" s="860"/>
    </row>
    <row r="230" spans="7:12">
      <c r="G230" s="860"/>
      <c r="H230" s="860"/>
      <c r="K230" s="860"/>
      <c r="L230" s="860"/>
    </row>
    <row r="231" spans="7:12">
      <c r="G231" s="860"/>
      <c r="H231" s="860"/>
      <c r="K231" s="860"/>
      <c r="L231" s="860"/>
    </row>
    <row r="232" spans="7:12">
      <c r="G232" s="860"/>
      <c r="H232" s="860"/>
      <c r="K232" s="860"/>
      <c r="L232" s="860"/>
    </row>
    <row r="233" spans="7:12">
      <c r="G233" s="860"/>
      <c r="H233" s="860"/>
      <c r="K233" s="860"/>
      <c r="L233" s="860"/>
    </row>
    <row r="234" spans="7:12">
      <c r="G234" s="860"/>
      <c r="H234" s="860"/>
      <c r="K234" s="860"/>
      <c r="L234" s="860"/>
    </row>
    <row r="235" spans="7:12">
      <c r="G235" s="860"/>
      <c r="H235" s="860"/>
      <c r="K235" s="860"/>
      <c r="L235" s="860"/>
    </row>
    <row r="236" spans="7:12">
      <c r="G236" s="860"/>
      <c r="H236" s="860"/>
      <c r="K236" s="860"/>
      <c r="L236" s="860"/>
    </row>
    <row r="237" spans="7:12">
      <c r="G237" s="860"/>
      <c r="H237" s="860"/>
      <c r="K237" s="860"/>
      <c r="L237" s="860"/>
    </row>
    <row r="238" spans="7:12">
      <c r="G238" s="860"/>
      <c r="H238" s="860"/>
      <c r="K238" s="860"/>
      <c r="L238" s="860"/>
    </row>
    <row r="239" spans="7:12">
      <c r="G239" s="860"/>
      <c r="H239" s="860"/>
      <c r="K239" s="860"/>
      <c r="L239" s="860"/>
    </row>
    <row r="240" spans="7:12">
      <c r="G240" s="860"/>
      <c r="H240" s="860"/>
      <c r="K240" s="860"/>
      <c r="L240" s="860"/>
    </row>
    <row r="241" spans="7:12">
      <c r="G241" s="860"/>
      <c r="H241" s="860"/>
      <c r="K241" s="860"/>
      <c r="L241" s="860"/>
    </row>
    <row r="242" spans="7:12">
      <c r="G242" s="860"/>
      <c r="H242" s="860"/>
      <c r="K242" s="860"/>
      <c r="L242" s="860"/>
    </row>
    <row r="243" spans="7:12">
      <c r="G243" s="860"/>
      <c r="H243" s="860"/>
      <c r="K243" s="860"/>
      <c r="L243" s="860"/>
    </row>
    <row r="244" spans="7:12">
      <c r="G244" s="860"/>
      <c r="H244" s="860"/>
      <c r="K244" s="860"/>
      <c r="L244" s="860"/>
    </row>
    <row r="245" spans="7:12">
      <c r="G245" s="860"/>
      <c r="H245" s="860"/>
      <c r="K245" s="860"/>
      <c r="L245" s="860"/>
    </row>
    <row r="246" spans="7:12">
      <c r="G246" s="860"/>
      <c r="H246" s="860"/>
      <c r="K246" s="860"/>
      <c r="L246" s="860"/>
    </row>
    <row r="247" spans="7:12">
      <c r="G247" s="860"/>
      <c r="H247" s="860"/>
      <c r="K247" s="860"/>
      <c r="L247" s="860"/>
    </row>
    <row r="248" spans="7:12">
      <c r="G248" s="860"/>
      <c r="H248" s="860"/>
      <c r="K248" s="860"/>
      <c r="L248" s="860"/>
    </row>
    <row r="249" spans="7:12">
      <c r="G249" s="860"/>
      <c r="H249" s="860"/>
      <c r="K249" s="860"/>
      <c r="L249" s="860"/>
    </row>
    <row r="250" spans="7:12">
      <c r="G250" s="860"/>
      <c r="H250" s="860"/>
      <c r="K250" s="860"/>
      <c r="L250" s="860"/>
    </row>
    <row r="251" spans="7:12">
      <c r="G251" s="860"/>
      <c r="H251" s="860"/>
      <c r="K251" s="860"/>
      <c r="L251" s="860"/>
    </row>
    <row r="252" spans="7:12">
      <c r="G252" s="860"/>
      <c r="H252" s="860"/>
      <c r="K252" s="860"/>
      <c r="L252" s="860"/>
    </row>
    <row r="253" spans="7:12">
      <c r="G253" s="860"/>
      <c r="H253" s="860"/>
      <c r="K253" s="860"/>
      <c r="L253" s="860"/>
    </row>
    <row r="254" spans="7:12">
      <c r="G254" s="860"/>
      <c r="H254" s="860"/>
      <c r="K254" s="860"/>
      <c r="L254" s="860"/>
    </row>
    <row r="255" spans="7:12">
      <c r="G255" s="860"/>
      <c r="H255" s="860"/>
      <c r="K255" s="860"/>
      <c r="L255" s="860"/>
    </row>
    <row r="256" spans="7:12">
      <c r="G256" s="860"/>
      <c r="H256" s="860"/>
      <c r="K256" s="860"/>
      <c r="L256" s="860"/>
    </row>
    <row r="257" spans="7:12">
      <c r="G257" s="860"/>
      <c r="H257" s="860"/>
      <c r="K257" s="860"/>
      <c r="L257" s="860"/>
    </row>
    <row r="258" spans="7:12">
      <c r="G258" s="860"/>
      <c r="H258" s="860"/>
      <c r="K258" s="860"/>
      <c r="L258" s="860"/>
    </row>
    <row r="259" spans="7:12">
      <c r="G259" s="860"/>
      <c r="H259" s="860"/>
      <c r="K259" s="860"/>
      <c r="L259" s="860"/>
    </row>
    <row r="260" spans="7:12">
      <c r="G260" s="860"/>
      <c r="H260" s="860"/>
      <c r="K260" s="860"/>
      <c r="L260" s="860"/>
    </row>
    <row r="261" spans="7:12">
      <c r="G261" s="860"/>
      <c r="H261" s="860"/>
      <c r="K261" s="860"/>
      <c r="L261" s="860"/>
    </row>
    <row r="262" spans="7:12">
      <c r="G262" s="860"/>
      <c r="H262" s="860"/>
      <c r="K262" s="860"/>
      <c r="L262" s="860"/>
    </row>
    <row r="263" spans="7:12">
      <c r="G263" s="860"/>
      <c r="H263" s="860"/>
      <c r="K263" s="860"/>
      <c r="L263" s="860"/>
    </row>
    <row r="264" spans="7:12">
      <c r="G264" s="860"/>
      <c r="H264" s="860"/>
      <c r="K264" s="860"/>
      <c r="L264" s="860"/>
    </row>
    <row r="265" spans="7:12">
      <c r="G265" s="860"/>
      <c r="H265" s="860"/>
      <c r="K265" s="860"/>
      <c r="L265" s="860"/>
    </row>
    <row r="266" spans="7:12">
      <c r="G266" s="860"/>
      <c r="H266" s="860"/>
      <c r="K266" s="860"/>
      <c r="L266" s="860"/>
    </row>
    <row r="267" spans="7:12">
      <c r="G267" s="860"/>
      <c r="H267" s="860"/>
      <c r="K267" s="860"/>
      <c r="L267" s="860"/>
    </row>
    <row r="268" spans="7:12">
      <c r="G268" s="860"/>
      <c r="H268" s="860"/>
      <c r="K268" s="860"/>
      <c r="L268" s="860"/>
    </row>
    <row r="269" spans="7:12">
      <c r="G269" s="860"/>
      <c r="H269" s="860"/>
      <c r="K269" s="860"/>
      <c r="L269" s="860"/>
    </row>
    <row r="270" spans="7:12">
      <c r="G270" s="860"/>
      <c r="H270" s="860"/>
      <c r="K270" s="860"/>
      <c r="L270" s="860"/>
    </row>
    <row r="271" spans="7:12">
      <c r="G271" s="860"/>
      <c r="H271" s="860"/>
      <c r="K271" s="860"/>
      <c r="L271" s="860"/>
    </row>
    <row r="272" spans="7:12">
      <c r="G272" s="860"/>
      <c r="H272" s="860"/>
      <c r="K272" s="860"/>
      <c r="L272" s="860"/>
    </row>
    <row r="273" spans="7:12">
      <c r="G273" s="860"/>
      <c r="H273" s="860"/>
      <c r="K273" s="860"/>
      <c r="L273" s="860"/>
    </row>
    <row r="274" spans="7:12">
      <c r="G274" s="860"/>
      <c r="H274" s="860"/>
      <c r="K274" s="860"/>
      <c r="L274" s="860"/>
    </row>
    <row r="275" spans="7:12">
      <c r="G275" s="860"/>
      <c r="H275" s="860"/>
      <c r="K275" s="860"/>
      <c r="L275" s="860"/>
    </row>
    <row r="276" spans="7:12">
      <c r="G276" s="860"/>
      <c r="H276" s="860"/>
      <c r="K276" s="860"/>
      <c r="L276" s="860"/>
    </row>
    <row r="277" spans="7:12">
      <c r="G277" s="860"/>
      <c r="H277" s="860"/>
      <c r="K277" s="860"/>
      <c r="L277" s="860"/>
    </row>
    <row r="278" spans="7:12">
      <c r="G278" s="860"/>
      <c r="H278" s="860"/>
      <c r="K278" s="860"/>
      <c r="L278" s="860"/>
    </row>
    <row r="279" spans="7:12">
      <c r="G279" s="860"/>
      <c r="H279" s="860"/>
      <c r="K279" s="860"/>
      <c r="L279" s="860"/>
    </row>
    <row r="280" spans="7:12">
      <c r="G280" s="860"/>
      <c r="H280" s="860"/>
      <c r="K280" s="860"/>
      <c r="L280" s="860"/>
    </row>
    <row r="281" spans="7:12">
      <c r="G281" s="860"/>
      <c r="H281" s="860"/>
      <c r="K281" s="860"/>
      <c r="L281" s="860"/>
    </row>
    <row r="282" spans="7:12">
      <c r="G282" s="860"/>
      <c r="H282" s="860"/>
      <c r="K282" s="860"/>
      <c r="L282" s="860"/>
    </row>
    <row r="283" spans="7:12">
      <c r="G283" s="860"/>
      <c r="H283" s="860"/>
      <c r="K283" s="860"/>
      <c r="L283" s="860"/>
    </row>
    <row r="284" spans="7:12">
      <c r="G284" s="860"/>
      <c r="H284" s="860"/>
      <c r="K284" s="860"/>
      <c r="L284" s="860"/>
    </row>
    <row r="285" spans="7:12">
      <c r="G285" s="860"/>
      <c r="H285" s="860"/>
      <c r="K285" s="860"/>
      <c r="L285" s="860"/>
    </row>
    <row r="286" spans="7:12">
      <c r="G286" s="860"/>
      <c r="H286" s="860"/>
      <c r="K286" s="860"/>
      <c r="L286" s="860"/>
    </row>
    <row r="287" spans="7:12">
      <c r="G287" s="860"/>
      <c r="H287" s="860"/>
      <c r="K287" s="860"/>
      <c r="L287" s="860"/>
    </row>
    <row r="288" spans="7:12">
      <c r="G288" s="860"/>
      <c r="H288" s="860"/>
      <c r="K288" s="860"/>
      <c r="L288" s="860"/>
    </row>
    <row r="289" spans="7:12">
      <c r="G289" s="860"/>
      <c r="H289" s="860"/>
      <c r="K289" s="860"/>
      <c r="L289" s="860"/>
    </row>
    <row r="290" spans="7:12">
      <c r="G290" s="860"/>
      <c r="H290" s="860"/>
      <c r="K290" s="860"/>
      <c r="L290" s="860"/>
    </row>
    <row r="291" spans="7:12">
      <c r="G291" s="860"/>
      <c r="H291" s="860"/>
      <c r="K291" s="860"/>
      <c r="L291" s="860"/>
    </row>
    <row r="292" spans="7:12">
      <c r="G292" s="860"/>
      <c r="H292" s="860"/>
      <c r="K292" s="860"/>
      <c r="L292" s="860"/>
    </row>
    <row r="293" spans="7:12">
      <c r="G293" s="860"/>
      <c r="H293" s="860"/>
      <c r="K293" s="860"/>
      <c r="L293" s="860"/>
    </row>
    <row r="294" spans="7:12">
      <c r="G294" s="860"/>
      <c r="H294" s="860"/>
      <c r="K294" s="860"/>
      <c r="L294" s="860"/>
    </row>
    <row r="295" spans="7:12">
      <c r="G295" s="860"/>
      <c r="H295" s="860"/>
      <c r="K295" s="860"/>
      <c r="L295" s="860"/>
    </row>
    <row r="296" spans="7:12">
      <c r="G296" s="860"/>
      <c r="H296" s="860"/>
      <c r="K296" s="860"/>
      <c r="L296" s="860"/>
    </row>
    <row r="297" spans="7:12">
      <c r="G297" s="860"/>
      <c r="H297" s="860"/>
      <c r="K297" s="860"/>
      <c r="L297" s="860"/>
    </row>
    <row r="298" spans="7:12">
      <c r="K298" s="860"/>
      <c r="L298" s="860"/>
    </row>
    <row r="299" spans="7:12">
      <c r="K299" s="860"/>
      <c r="L299" s="860"/>
    </row>
    <row r="300" spans="7:12">
      <c r="K300" s="860"/>
      <c r="L300" s="860"/>
    </row>
    <row r="301" spans="7:12">
      <c r="K301" s="860"/>
      <c r="L301" s="860"/>
    </row>
    <row r="302" spans="7:12">
      <c r="K302" s="860"/>
      <c r="L302" s="860"/>
    </row>
    <row r="303" spans="7:12">
      <c r="K303" s="860"/>
      <c r="L303" s="860"/>
    </row>
    <row r="304" spans="7:12">
      <c r="K304" s="860"/>
      <c r="L304" s="860"/>
    </row>
    <row r="305" spans="11:12">
      <c r="K305" s="860"/>
      <c r="L305" s="860"/>
    </row>
    <row r="306" spans="11:12">
      <c r="K306" s="860"/>
      <c r="L306" s="860"/>
    </row>
    <row r="307" spans="11:12">
      <c r="K307" s="860"/>
      <c r="L307" s="860"/>
    </row>
  </sheetData>
  <mergeCells count="21">
    <mergeCell ref="A45:B45"/>
    <mergeCell ref="A50:K50"/>
    <mergeCell ref="A4:L4"/>
    <mergeCell ref="B5:L5"/>
    <mergeCell ref="B9:L9"/>
    <mergeCell ref="B16:L16"/>
    <mergeCell ref="B23:L23"/>
    <mergeCell ref="A31:B31"/>
    <mergeCell ref="A32:L32"/>
    <mergeCell ref="A33:L33"/>
    <mergeCell ref="B34:L34"/>
    <mergeCell ref="B38:L38"/>
    <mergeCell ref="B42:L42"/>
    <mergeCell ref="A1:L1"/>
    <mergeCell ref="A2:A3"/>
    <mergeCell ref="B2:B3"/>
    <mergeCell ref="C2:D2"/>
    <mergeCell ref="E2:F2"/>
    <mergeCell ref="G2:H2"/>
    <mergeCell ref="I2:J2"/>
    <mergeCell ref="K2:L2"/>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M46"/>
  <sheetViews>
    <sheetView topLeftCell="A13" zoomScaleNormal="100" zoomScaleSheetLayoutView="100" workbookViewId="0">
      <selection activeCell="F26" sqref="F26"/>
    </sheetView>
  </sheetViews>
  <sheetFormatPr defaultColWidth="9.140625" defaultRowHeight="12.75"/>
  <cols>
    <col min="1" max="1" width="7.85546875" style="860" customWidth="1"/>
    <col min="2" max="2" width="21.28515625" style="860" customWidth="1"/>
    <col min="3" max="4" width="10.5703125" style="860" customWidth="1"/>
    <col min="5" max="5" width="11.140625" style="860" bestFit="1" customWidth="1"/>
    <col min="6" max="6" width="11.7109375" style="860" customWidth="1"/>
    <col min="7" max="7" width="11.5703125" style="860" customWidth="1"/>
    <col min="8" max="8" width="9.85546875" style="860" customWidth="1"/>
    <col min="9" max="9" width="8.85546875" style="860" bestFit="1" customWidth="1"/>
    <col min="10" max="10" width="9.42578125" style="860" bestFit="1" customWidth="1"/>
    <col min="11" max="11" width="9.5703125" style="860" customWidth="1"/>
    <col min="12" max="12" width="10.28515625" style="860" customWidth="1"/>
    <col min="13" max="16384" width="9.140625" style="860"/>
  </cols>
  <sheetData>
    <row r="1" spans="1:12" ht="15" customHeight="1">
      <c r="A1" s="1551" t="s">
        <v>973</v>
      </c>
      <c r="B1" s="1551"/>
      <c r="C1" s="1551"/>
      <c r="D1" s="1551"/>
      <c r="E1" s="1551"/>
      <c r="F1" s="1551"/>
      <c r="G1" s="1551"/>
      <c r="H1" s="1551"/>
      <c r="I1" s="1551"/>
      <c r="J1" s="1551"/>
      <c r="K1" s="1551"/>
      <c r="L1" s="1551"/>
    </row>
    <row r="2" spans="1:12">
      <c r="A2" s="1448" t="s">
        <v>933</v>
      </c>
      <c r="B2" s="1448" t="s">
        <v>974</v>
      </c>
      <c r="C2" s="1458" t="s">
        <v>58</v>
      </c>
      <c r="D2" s="1460"/>
      <c r="E2" s="1458" t="s">
        <v>61</v>
      </c>
      <c r="F2" s="1460"/>
      <c r="G2" s="1458" t="s">
        <v>1200</v>
      </c>
      <c r="H2" s="1460"/>
      <c r="I2" s="1458" t="s">
        <v>1201</v>
      </c>
      <c r="J2" s="1460"/>
      <c r="K2" s="1458" t="s">
        <v>1202</v>
      </c>
      <c r="L2" s="1460"/>
    </row>
    <row r="3" spans="1:12" ht="38.25">
      <c r="A3" s="1449"/>
      <c r="B3" s="1449"/>
      <c r="C3" s="985" t="s">
        <v>914</v>
      </c>
      <c r="D3" s="985" t="s">
        <v>1097</v>
      </c>
      <c r="E3" s="985" t="s">
        <v>914</v>
      </c>
      <c r="F3" s="985" t="s">
        <v>1097</v>
      </c>
      <c r="G3" s="985" t="s">
        <v>914</v>
      </c>
      <c r="H3" s="985" t="s">
        <v>1097</v>
      </c>
      <c r="I3" s="985" t="s">
        <v>914</v>
      </c>
      <c r="J3" s="985" t="s">
        <v>975</v>
      </c>
      <c r="K3" s="985" t="s">
        <v>893</v>
      </c>
      <c r="L3" s="985" t="s">
        <v>1097</v>
      </c>
    </row>
    <row r="4" spans="1:12" ht="15.75">
      <c r="A4" s="863"/>
      <c r="B4" s="1548" t="s">
        <v>862</v>
      </c>
      <c r="C4" s="1549"/>
      <c r="D4" s="1549"/>
      <c r="E4" s="1549"/>
      <c r="F4" s="1549"/>
      <c r="G4" s="1549"/>
      <c r="H4" s="1549"/>
      <c r="I4" s="1549"/>
      <c r="J4" s="1549"/>
      <c r="K4" s="1549"/>
      <c r="L4" s="1550"/>
    </row>
    <row r="5" spans="1:12">
      <c r="A5" s="863" t="s">
        <v>702</v>
      </c>
      <c r="B5" s="967" t="s">
        <v>1009</v>
      </c>
      <c r="C5" s="997"/>
      <c r="D5" s="997"/>
      <c r="E5" s="997"/>
      <c r="F5" s="997"/>
      <c r="G5" s="997"/>
      <c r="H5" s="997"/>
      <c r="I5" s="997"/>
      <c r="J5" s="997"/>
      <c r="K5" s="997"/>
      <c r="L5" s="998"/>
    </row>
    <row r="6" spans="1:12">
      <c r="A6" s="864"/>
      <c r="B6" s="865" t="s">
        <v>976</v>
      </c>
      <c r="C6" s="866" t="s">
        <v>215</v>
      </c>
      <c r="D6" s="866" t="s">
        <v>215</v>
      </c>
      <c r="E6" s="832">
        <v>6.0540000000000012</v>
      </c>
      <c r="F6" s="832">
        <v>324.07083749999998</v>
      </c>
      <c r="G6" s="867" t="s">
        <v>215</v>
      </c>
      <c r="H6" s="867" t="s">
        <v>215</v>
      </c>
      <c r="I6" s="841">
        <v>0.21700000000000003</v>
      </c>
      <c r="J6" s="841">
        <v>12.726925000000001</v>
      </c>
      <c r="K6" s="841">
        <v>0.13500000000000004</v>
      </c>
      <c r="L6" s="832">
        <v>8.0392749999999999</v>
      </c>
    </row>
    <row r="7" spans="1:12">
      <c r="A7" s="864"/>
      <c r="B7" s="830" t="s">
        <v>977</v>
      </c>
      <c r="C7" s="830">
        <v>102.46</v>
      </c>
      <c r="D7" s="830">
        <v>185.62521999999996</v>
      </c>
      <c r="E7" s="832">
        <v>32.020000000000003</v>
      </c>
      <c r="F7" s="832">
        <v>47.387835000000003</v>
      </c>
      <c r="G7" s="832">
        <v>4.5500000000000007</v>
      </c>
      <c r="H7" s="832">
        <v>7.6675999999999993</v>
      </c>
      <c r="I7" s="841">
        <v>0.66</v>
      </c>
      <c r="J7" s="841">
        <v>1.0135099999999999</v>
      </c>
      <c r="K7" s="841">
        <v>7.0000000000000007E-2</v>
      </c>
      <c r="L7" s="832">
        <v>0.11620000000000001</v>
      </c>
    </row>
    <row r="8" spans="1:12">
      <c r="A8" s="864"/>
      <c r="B8" s="830" t="s">
        <v>978</v>
      </c>
      <c r="C8" s="868">
        <v>4.29</v>
      </c>
      <c r="D8" s="868">
        <v>7.3723200000000002</v>
      </c>
      <c r="E8" s="869">
        <v>7.0000000000000007E-2</v>
      </c>
      <c r="F8" s="869">
        <v>0.11620000000000001</v>
      </c>
      <c r="G8" s="869">
        <v>0.08</v>
      </c>
      <c r="H8" s="869">
        <v>0.15260000000000001</v>
      </c>
      <c r="I8" s="869" t="s">
        <v>215</v>
      </c>
      <c r="J8" s="869" t="s">
        <v>215</v>
      </c>
      <c r="K8" s="869" t="s">
        <v>215</v>
      </c>
      <c r="L8" s="869" t="s">
        <v>215</v>
      </c>
    </row>
    <row r="9" spans="1:12">
      <c r="A9" s="864"/>
      <c r="B9" s="830" t="s">
        <v>979</v>
      </c>
      <c r="C9" s="868">
        <v>11053.960000000001</v>
      </c>
      <c r="D9" s="868">
        <v>60060.970820000002</v>
      </c>
      <c r="E9" s="870">
        <v>1692.8950000000002</v>
      </c>
      <c r="F9" s="870">
        <v>7068.4837799999996</v>
      </c>
      <c r="G9" s="870">
        <v>183.345</v>
      </c>
      <c r="H9" s="870">
        <v>706.82408999999996</v>
      </c>
      <c r="I9" s="870">
        <v>116.83000000000001</v>
      </c>
      <c r="J9" s="870">
        <v>517.93498</v>
      </c>
      <c r="K9" s="870">
        <v>96.179999999999993</v>
      </c>
      <c r="L9" s="870">
        <v>423.68067000000008</v>
      </c>
    </row>
    <row r="10" spans="1:12">
      <c r="A10" s="864"/>
      <c r="B10" s="830" t="s">
        <v>980</v>
      </c>
      <c r="C10" s="868">
        <v>10985.99</v>
      </c>
      <c r="D10" s="868">
        <v>47542.733989999993</v>
      </c>
      <c r="E10" s="870">
        <v>7409.01</v>
      </c>
      <c r="F10" s="870">
        <v>35249.06424</v>
      </c>
      <c r="G10" s="870">
        <v>499.28</v>
      </c>
      <c r="H10" s="870">
        <v>1984.7158400000003</v>
      </c>
      <c r="I10" s="870">
        <v>328.49</v>
      </c>
      <c r="J10" s="870">
        <v>1474.2889399999999</v>
      </c>
      <c r="K10" s="870">
        <v>470.71999999999991</v>
      </c>
      <c r="L10" s="870">
        <v>2207.5227400000003</v>
      </c>
    </row>
    <row r="11" spans="1:12">
      <c r="A11" s="864"/>
      <c r="B11" s="830" t="s">
        <v>981</v>
      </c>
      <c r="C11" s="868">
        <v>16806.920000000002</v>
      </c>
      <c r="D11" s="868">
        <v>39603.763459999995</v>
      </c>
      <c r="E11" s="870">
        <v>9864.9900000000016</v>
      </c>
      <c r="F11" s="870">
        <v>20040.114580000001</v>
      </c>
      <c r="G11" s="870">
        <v>1495.27</v>
      </c>
      <c r="H11" s="870">
        <v>2574.3252899999998</v>
      </c>
      <c r="I11" s="870">
        <v>1338.67</v>
      </c>
      <c r="J11" s="870">
        <v>2791.2706400000002</v>
      </c>
      <c r="K11" s="870">
        <v>1502.79</v>
      </c>
      <c r="L11" s="870">
        <v>3398.0368200000003</v>
      </c>
    </row>
    <row r="12" spans="1:12">
      <c r="A12" s="864"/>
      <c r="B12" s="830" t="s">
        <v>982</v>
      </c>
      <c r="C12" s="868">
        <v>2035.7499999999998</v>
      </c>
      <c r="D12" s="868">
        <v>13715.272800000001</v>
      </c>
      <c r="E12" s="870">
        <v>298.93499999999995</v>
      </c>
      <c r="F12" s="870">
        <v>1874.7707400000004</v>
      </c>
      <c r="G12" s="870">
        <v>53.82</v>
      </c>
      <c r="H12" s="870">
        <v>332.48131999999993</v>
      </c>
      <c r="I12" s="870">
        <v>12.574999999999999</v>
      </c>
      <c r="J12" s="870">
        <v>75.453980000000001</v>
      </c>
      <c r="K12" s="870">
        <v>17.25</v>
      </c>
      <c r="L12" s="870">
        <v>116.67358999999999</v>
      </c>
    </row>
    <row r="13" spans="1:12">
      <c r="A13" s="864"/>
      <c r="B13" s="830" t="s">
        <v>983</v>
      </c>
      <c r="C13" s="868">
        <v>15063.849999999999</v>
      </c>
      <c r="D13" s="868">
        <v>67368.65558999998</v>
      </c>
      <c r="E13" s="870">
        <v>5850.6450000000004</v>
      </c>
      <c r="F13" s="870">
        <v>23000.796440000002</v>
      </c>
      <c r="G13" s="870">
        <v>947.65000000000009</v>
      </c>
      <c r="H13" s="870">
        <v>3622.5927600000005</v>
      </c>
      <c r="I13" s="870">
        <v>427.66999999999996</v>
      </c>
      <c r="J13" s="870">
        <v>1690.7425850000002</v>
      </c>
      <c r="K13" s="870">
        <v>379.3850000000001</v>
      </c>
      <c r="L13" s="870">
        <v>1493.328585</v>
      </c>
    </row>
    <row r="14" spans="1:12">
      <c r="A14" s="864"/>
      <c r="B14" s="830" t="s">
        <v>984</v>
      </c>
      <c r="C14" s="868">
        <v>5943.43</v>
      </c>
      <c r="D14" s="868">
        <v>38586.70630999998</v>
      </c>
      <c r="E14" s="870">
        <v>3499.125</v>
      </c>
      <c r="F14" s="870">
        <v>21192.293420000002</v>
      </c>
      <c r="G14" s="870">
        <v>397.80000000000007</v>
      </c>
      <c r="H14" s="870">
        <v>2623.238535</v>
      </c>
      <c r="I14" s="870">
        <v>260.73500000000001</v>
      </c>
      <c r="J14" s="870">
        <v>1605.2514200000001</v>
      </c>
      <c r="K14" s="870">
        <v>257.63</v>
      </c>
      <c r="L14" s="870">
        <v>1612.0534750000002</v>
      </c>
    </row>
    <row r="15" spans="1:12">
      <c r="A15" s="864"/>
      <c r="B15" s="830" t="s">
        <v>985</v>
      </c>
      <c r="C15" s="866" t="s">
        <v>215</v>
      </c>
      <c r="D15" s="866" t="s">
        <v>215</v>
      </c>
      <c r="E15" s="870">
        <v>7.82</v>
      </c>
      <c r="F15" s="870">
        <v>21.4712125</v>
      </c>
      <c r="G15" s="867">
        <v>0</v>
      </c>
      <c r="H15" s="867">
        <v>0</v>
      </c>
      <c r="I15" s="867">
        <v>2.4299999999999997</v>
      </c>
      <c r="J15" s="832">
        <v>6.6269</v>
      </c>
      <c r="K15" s="870">
        <v>1.5600000000000003</v>
      </c>
      <c r="L15" s="870">
        <v>4.2763875000000002</v>
      </c>
    </row>
    <row r="16" spans="1:12">
      <c r="A16" s="864"/>
      <c r="B16" s="830" t="s">
        <v>986</v>
      </c>
      <c r="C16" s="868">
        <v>607.67700000000002</v>
      </c>
      <c r="D16" s="868">
        <v>10064.350060000001</v>
      </c>
      <c r="E16" s="870">
        <v>189.86699999999996</v>
      </c>
      <c r="F16" s="870">
        <v>2620.7747850000001</v>
      </c>
      <c r="G16" s="870">
        <v>27.117000000000001</v>
      </c>
      <c r="H16" s="870">
        <v>370.29515999999995</v>
      </c>
      <c r="I16" s="870">
        <v>13.875</v>
      </c>
      <c r="J16" s="870">
        <v>181.67401500000003</v>
      </c>
      <c r="K16" s="870">
        <v>15.456000000000001</v>
      </c>
      <c r="L16" s="870">
        <v>207.75318000000001</v>
      </c>
    </row>
    <row r="17" spans="1:12">
      <c r="A17" s="864"/>
      <c r="B17" s="830" t="s">
        <v>950</v>
      </c>
      <c r="C17" s="868">
        <v>1096.299</v>
      </c>
      <c r="D17" s="868">
        <v>6893.0793900000008</v>
      </c>
      <c r="E17" s="870">
        <v>702.97399999999993</v>
      </c>
      <c r="F17" s="870">
        <v>4025.2396600000002</v>
      </c>
      <c r="G17" s="870">
        <v>129.20400000000001</v>
      </c>
      <c r="H17" s="870">
        <v>673.3033200000001</v>
      </c>
      <c r="I17" s="870">
        <v>111.01600000000002</v>
      </c>
      <c r="J17" s="870">
        <v>670.29234000000008</v>
      </c>
      <c r="K17" s="870">
        <v>105.17599999999999</v>
      </c>
      <c r="L17" s="870">
        <v>647.96971999999994</v>
      </c>
    </row>
    <row r="18" spans="1:12">
      <c r="A18" s="864"/>
      <c r="B18" s="830" t="s">
        <v>987</v>
      </c>
      <c r="C18" s="868">
        <v>68.64</v>
      </c>
      <c r="D18" s="868">
        <v>135.77198999999999</v>
      </c>
      <c r="E18" s="870">
        <v>17.499999999999996</v>
      </c>
      <c r="F18" s="870">
        <v>22.405260000000002</v>
      </c>
      <c r="G18" s="870">
        <v>0.82000000000000006</v>
      </c>
      <c r="H18" s="870">
        <v>1.3445799999999999</v>
      </c>
      <c r="I18" s="870">
        <v>6.0000000000000005E-2</v>
      </c>
      <c r="J18" s="870">
        <v>8.7029999999999996E-2</v>
      </c>
      <c r="K18" s="870">
        <v>6.0000000000000005E-2</v>
      </c>
      <c r="L18" s="870">
        <v>8.7029999999999996E-2</v>
      </c>
    </row>
    <row r="19" spans="1:12">
      <c r="A19" s="864"/>
      <c r="B19" s="830" t="s">
        <v>988</v>
      </c>
      <c r="C19" s="868">
        <v>15.334999999999999</v>
      </c>
      <c r="D19" s="868">
        <v>95.276885000000021</v>
      </c>
      <c r="E19" s="870">
        <v>0.02</v>
      </c>
      <c r="F19" s="870">
        <v>0.14129999999999998</v>
      </c>
      <c r="G19" s="870">
        <v>0.01</v>
      </c>
      <c r="H19" s="870">
        <v>7.7875E-2</v>
      </c>
      <c r="I19" s="870">
        <v>0</v>
      </c>
      <c r="J19" s="870">
        <v>0</v>
      </c>
      <c r="K19" s="870">
        <v>0</v>
      </c>
      <c r="L19" s="870">
        <v>0</v>
      </c>
    </row>
    <row r="20" spans="1:12">
      <c r="A20" s="864"/>
      <c r="B20" s="830" t="s">
        <v>989</v>
      </c>
      <c r="C20" s="868">
        <v>0.96000000000000008</v>
      </c>
      <c r="D20" s="868">
        <v>3.7552000000000003</v>
      </c>
      <c r="E20" s="869" t="s">
        <v>215</v>
      </c>
      <c r="F20" s="869" t="s">
        <v>215</v>
      </c>
      <c r="G20" s="869" t="s">
        <v>215</v>
      </c>
      <c r="H20" s="869" t="s">
        <v>215</v>
      </c>
      <c r="I20" s="869" t="s">
        <v>215</v>
      </c>
      <c r="J20" s="869" t="s">
        <v>215</v>
      </c>
      <c r="K20" s="869" t="s">
        <v>215</v>
      </c>
      <c r="L20" s="869" t="s">
        <v>215</v>
      </c>
    </row>
    <row r="21" spans="1:12">
      <c r="A21" s="864"/>
      <c r="B21" s="830" t="s">
        <v>990</v>
      </c>
      <c r="C21" s="868">
        <v>6650.54</v>
      </c>
      <c r="D21" s="868">
        <v>26874.543099999999</v>
      </c>
      <c r="E21" s="870">
        <v>6402.28</v>
      </c>
      <c r="F21" s="870">
        <v>34128.122370000005</v>
      </c>
      <c r="G21" s="870">
        <v>372.96000000000004</v>
      </c>
      <c r="H21" s="870">
        <v>1508.0283300000001</v>
      </c>
      <c r="I21" s="870">
        <v>672.83999999999992</v>
      </c>
      <c r="J21" s="870">
        <v>3828.8196399999997</v>
      </c>
      <c r="K21" s="870">
        <v>639.56000000000006</v>
      </c>
      <c r="L21" s="870">
        <v>3494.2402900000002</v>
      </c>
    </row>
    <row r="22" spans="1:12">
      <c r="A22" s="864"/>
      <c r="B22" s="830" t="s">
        <v>991</v>
      </c>
      <c r="C22" s="868">
        <v>15880.070000000003</v>
      </c>
      <c r="D22" s="868">
        <v>61991.571400000001</v>
      </c>
      <c r="E22" s="870">
        <v>11112.769999999999</v>
      </c>
      <c r="F22" s="870">
        <v>47561.50604</v>
      </c>
      <c r="G22" s="870">
        <v>1469.9250000000002</v>
      </c>
      <c r="H22" s="870">
        <v>5792.5219700000007</v>
      </c>
      <c r="I22" s="870">
        <v>1568.6999999999998</v>
      </c>
      <c r="J22" s="870">
        <v>7263.5218449999993</v>
      </c>
      <c r="K22" s="870">
        <v>1426.14</v>
      </c>
      <c r="L22" s="870">
        <v>6872.7486799999997</v>
      </c>
    </row>
    <row r="23" spans="1:12">
      <c r="A23" s="864"/>
      <c r="B23" s="830" t="s">
        <v>992</v>
      </c>
      <c r="C23" s="868">
        <v>7463.0399999999991</v>
      </c>
      <c r="D23" s="868">
        <v>60031.728280000003</v>
      </c>
      <c r="E23" s="870">
        <v>7523.0899999999992</v>
      </c>
      <c r="F23" s="870">
        <v>74128.997365000003</v>
      </c>
      <c r="G23" s="870">
        <v>849.56499999999994</v>
      </c>
      <c r="H23" s="870">
        <v>6978.3759500000006</v>
      </c>
      <c r="I23" s="870">
        <v>1102.7249999999999</v>
      </c>
      <c r="J23" s="870">
        <v>12435.848895000001</v>
      </c>
      <c r="K23" s="870">
        <v>841.43999999999994</v>
      </c>
      <c r="L23" s="870">
        <v>9545.942325</v>
      </c>
    </row>
    <row r="24" spans="1:12">
      <c r="A24" s="864"/>
      <c r="B24" s="830" t="s">
        <v>1203</v>
      </c>
      <c r="C24" s="868" t="s">
        <v>215</v>
      </c>
      <c r="D24" s="868" t="s">
        <v>215</v>
      </c>
      <c r="E24" s="870">
        <v>1.7000000000000002</v>
      </c>
      <c r="F24" s="870">
        <v>7.33819</v>
      </c>
      <c r="G24" s="870" t="s">
        <v>215</v>
      </c>
      <c r="H24" s="870" t="s">
        <v>215</v>
      </c>
      <c r="I24" s="870" t="s">
        <v>215</v>
      </c>
      <c r="J24" s="870" t="s">
        <v>215</v>
      </c>
      <c r="K24" s="870">
        <v>1.7000000000000002</v>
      </c>
      <c r="L24" s="870">
        <v>7.33819</v>
      </c>
    </row>
    <row r="25" spans="1:12">
      <c r="A25" s="864"/>
      <c r="B25" s="830" t="s">
        <v>993</v>
      </c>
      <c r="C25" s="868">
        <v>1297.855</v>
      </c>
      <c r="D25" s="868">
        <v>8443.7554899999996</v>
      </c>
      <c r="E25" s="870">
        <v>526.42000000000007</v>
      </c>
      <c r="F25" s="870">
        <v>3221.3420000000001</v>
      </c>
      <c r="G25" s="870">
        <v>35.560000000000009</v>
      </c>
      <c r="H25" s="870">
        <v>212.76769000000004</v>
      </c>
      <c r="I25" s="870">
        <v>24.04</v>
      </c>
      <c r="J25" s="870">
        <v>150.34515000000002</v>
      </c>
      <c r="K25" s="870">
        <v>94.18</v>
      </c>
      <c r="L25" s="870">
        <v>720.12399000000005</v>
      </c>
    </row>
    <row r="26" spans="1:12">
      <c r="A26" s="864"/>
      <c r="B26" s="830" t="s">
        <v>994</v>
      </c>
      <c r="C26" s="868">
        <v>181.68</v>
      </c>
      <c r="D26" s="868">
        <v>362.16701999999992</v>
      </c>
      <c r="E26" s="870">
        <v>45.594999999999985</v>
      </c>
      <c r="F26" s="870">
        <v>262.41224</v>
      </c>
      <c r="G26" s="870">
        <v>7.0000000000000007E-2</v>
      </c>
      <c r="H26" s="870">
        <v>0.15061000000000002</v>
      </c>
      <c r="I26" s="758">
        <v>0</v>
      </c>
      <c r="J26" s="758">
        <v>0</v>
      </c>
      <c r="K26" s="758">
        <v>0</v>
      </c>
      <c r="L26" s="758">
        <v>0</v>
      </c>
    </row>
    <row r="27" spans="1:12">
      <c r="A27" s="864"/>
      <c r="B27" s="830" t="s">
        <v>995</v>
      </c>
      <c r="C27" s="869" t="s">
        <v>215</v>
      </c>
      <c r="D27" s="869" t="s">
        <v>215</v>
      </c>
      <c r="E27" s="870">
        <v>0.19500000000000001</v>
      </c>
      <c r="F27" s="870">
        <v>1.7292000000000001</v>
      </c>
      <c r="G27" s="870">
        <v>0</v>
      </c>
      <c r="H27" s="870">
        <v>0</v>
      </c>
      <c r="I27" s="870">
        <v>0</v>
      </c>
      <c r="J27" s="870">
        <v>0</v>
      </c>
      <c r="K27" s="870">
        <v>0</v>
      </c>
      <c r="L27" s="870">
        <v>0</v>
      </c>
    </row>
    <row r="28" spans="1:12">
      <c r="A28" s="871" t="s">
        <v>876</v>
      </c>
      <c r="B28" s="994" t="s">
        <v>937</v>
      </c>
      <c r="C28" s="872">
        <f>SUM(C7:C27)</f>
        <v>95258.745999999985</v>
      </c>
      <c r="D28" s="872">
        <f>SUM(D6:D27)</f>
        <v>441967.09932500002</v>
      </c>
      <c r="E28" s="873">
        <f>SUM(E7:E27)</f>
        <v>55177.920999999988</v>
      </c>
      <c r="F28" s="873">
        <f t="shared" ref="F28:L28" si="0">SUM(F6:F27)</f>
        <v>274798.57769499999</v>
      </c>
      <c r="G28" s="873">
        <f>SUM(G7:G27)</f>
        <v>6467.0260000000007</v>
      </c>
      <c r="H28" s="873">
        <f t="shared" si="0"/>
        <v>27388.863520000006</v>
      </c>
      <c r="I28" s="873">
        <f>SUM(I7:I27)</f>
        <v>5981.3159999999998</v>
      </c>
      <c r="J28" s="873">
        <f t="shared" si="0"/>
        <v>32705.898795000001</v>
      </c>
      <c r="K28" s="873">
        <f>SUM(K7:K27)</f>
        <v>5849.2969999999996</v>
      </c>
      <c r="L28" s="873">
        <f t="shared" si="0"/>
        <v>30759.931147499999</v>
      </c>
    </row>
    <row r="29" spans="1:12">
      <c r="A29" s="863" t="s">
        <v>758</v>
      </c>
      <c r="B29" s="993" t="s">
        <v>1100</v>
      </c>
      <c r="C29" s="964"/>
      <c r="D29" s="964"/>
      <c r="E29" s="965"/>
      <c r="F29" s="965"/>
      <c r="G29" s="965"/>
      <c r="H29" s="965"/>
      <c r="I29" s="965"/>
      <c r="J29" s="965"/>
      <c r="K29" s="965"/>
      <c r="L29" s="966"/>
    </row>
    <row r="30" spans="1:12">
      <c r="A30" s="863"/>
      <c r="B30" s="830" t="s">
        <v>1007</v>
      </c>
      <c r="C30" s="868" t="s">
        <v>215</v>
      </c>
      <c r="D30" s="868" t="s">
        <v>215</v>
      </c>
      <c r="E30" s="870">
        <v>17</v>
      </c>
      <c r="F30" s="870">
        <v>63.008379999999995</v>
      </c>
      <c r="G30" s="870" t="s">
        <v>215</v>
      </c>
      <c r="H30" s="870" t="s">
        <v>215</v>
      </c>
      <c r="I30" s="870">
        <v>6.59</v>
      </c>
      <c r="J30" s="870">
        <v>24.235309999999998</v>
      </c>
      <c r="K30" s="870">
        <v>10.41</v>
      </c>
      <c r="L30" s="870">
        <v>38.773069999999997</v>
      </c>
    </row>
    <row r="31" spans="1:12">
      <c r="A31" s="863"/>
      <c r="B31" s="994" t="s">
        <v>999</v>
      </c>
      <c r="C31" s="872" t="s">
        <v>215</v>
      </c>
      <c r="D31" s="872" t="s">
        <v>215</v>
      </c>
      <c r="E31" s="873">
        <f>SUM(E30)</f>
        <v>17</v>
      </c>
      <c r="F31" s="873">
        <f>SUM(F30)</f>
        <v>63.008379999999995</v>
      </c>
      <c r="G31" s="873" t="s">
        <v>215</v>
      </c>
      <c r="H31" s="873" t="s">
        <v>215</v>
      </c>
      <c r="I31" s="873">
        <f>SUM(I30)</f>
        <v>6.59</v>
      </c>
      <c r="J31" s="873">
        <f>SUM(J30)</f>
        <v>24.235309999999998</v>
      </c>
      <c r="K31" s="873">
        <f>SUM(K30)</f>
        <v>10.41</v>
      </c>
      <c r="L31" s="873">
        <f>SUM(L30)</f>
        <v>38.773069999999997</v>
      </c>
    </row>
    <row r="32" spans="1:12" ht="13.5" thickBot="1">
      <c r="A32" s="1048"/>
      <c r="B32" s="1030" t="s">
        <v>1114</v>
      </c>
      <c r="C32" s="1049">
        <f t="shared" ref="C32:L32" si="1">SUM(C28,C31)</f>
        <v>95258.745999999985</v>
      </c>
      <c r="D32" s="1049">
        <f t="shared" si="1"/>
        <v>441967.09932500002</v>
      </c>
      <c r="E32" s="1050">
        <f t="shared" si="1"/>
        <v>55194.920999999988</v>
      </c>
      <c r="F32" s="1050">
        <f t="shared" si="1"/>
        <v>274861.586075</v>
      </c>
      <c r="G32" s="1050">
        <f t="shared" si="1"/>
        <v>6467.0260000000007</v>
      </c>
      <c r="H32" s="1050">
        <f t="shared" si="1"/>
        <v>27388.863520000006</v>
      </c>
      <c r="I32" s="1050">
        <f t="shared" si="1"/>
        <v>5987.9059999999999</v>
      </c>
      <c r="J32" s="1050">
        <f t="shared" si="1"/>
        <v>32730.134105000001</v>
      </c>
      <c r="K32" s="1050">
        <f t="shared" si="1"/>
        <v>5859.7069999999994</v>
      </c>
      <c r="L32" s="1050">
        <f t="shared" si="1"/>
        <v>30798.704217499999</v>
      </c>
    </row>
    <row r="33" spans="1:13" ht="13.5" thickBot="1">
      <c r="A33" s="1542"/>
      <c r="B33" s="1543"/>
      <c r="C33" s="1543"/>
      <c r="D33" s="1543"/>
      <c r="E33" s="1543"/>
      <c r="F33" s="1543"/>
      <c r="G33" s="1543"/>
      <c r="H33" s="1543"/>
      <c r="I33" s="1543"/>
      <c r="J33" s="1543"/>
      <c r="K33" s="1543"/>
      <c r="L33" s="1544"/>
    </row>
    <row r="34" spans="1:13" ht="15.75">
      <c r="A34" s="1051" t="s">
        <v>771</v>
      </c>
      <c r="B34" s="1545" t="s">
        <v>863</v>
      </c>
      <c r="C34" s="1546"/>
      <c r="D34" s="1546"/>
      <c r="E34" s="1546"/>
      <c r="F34" s="1546"/>
      <c r="G34" s="1546"/>
      <c r="H34" s="1546"/>
      <c r="I34" s="1546"/>
      <c r="J34" s="1546"/>
      <c r="K34" s="1546"/>
      <c r="L34" s="1547"/>
    </row>
    <row r="35" spans="1:13">
      <c r="A35" s="847"/>
      <c r="B35" s="830" t="s">
        <v>980</v>
      </c>
      <c r="C35" s="868">
        <v>0.29000000000000004</v>
      </c>
      <c r="D35" s="868">
        <v>1.27</v>
      </c>
      <c r="E35" s="870">
        <v>1.46</v>
      </c>
      <c r="F35" s="870">
        <v>7.8199999999999994</v>
      </c>
      <c r="G35" s="870">
        <v>0</v>
      </c>
      <c r="H35" s="870">
        <v>0</v>
      </c>
      <c r="I35" s="870">
        <v>0</v>
      </c>
      <c r="J35" s="870">
        <v>0</v>
      </c>
      <c r="K35" s="870">
        <v>0.12</v>
      </c>
      <c r="L35" s="870">
        <v>0.64</v>
      </c>
      <c r="M35" s="860" t="s">
        <v>876</v>
      </c>
    </row>
    <row r="36" spans="1:13">
      <c r="A36" s="847"/>
      <c r="B36" s="830" t="s">
        <v>984</v>
      </c>
      <c r="C36" s="868">
        <v>1.7150000000000001</v>
      </c>
      <c r="D36" s="868">
        <v>11.71</v>
      </c>
      <c r="E36" s="870">
        <v>0.90999999999999992</v>
      </c>
      <c r="F36" s="870">
        <v>5.9700600000000001</v>
      </c>
      <c r="G36" s="870">
        <v>0.64500000000000002</v>
      </c>
      <c r="H36" s="870">
        <v>4.49</v>
      </c>
      <c r="I36" s="870">
        <v>0</v>
      </c>
      <c r="J36" s="870">
        <v>0</v>
      </c>
      <c r="K36" s="870">
        <v>0</v>
      </c>
      <c r="L36" s="870">
        <v>0</v>
      </c>
      <c r="M36" s="860" t="s">
        <v>876</v>
      </c>
    </row>
    <row r="37" spans="1:13">
      <c r="A37" s="847"/>
      <c r="B37" s="830" t="s">
        <v>996</v>
      </c>
      <c r="C37" s="868">
        <v>6.6250000000000009</v>
      </c>
      <c r="D37" s="868">
        <v>29.17</v>
      </c>
      <c r="E37" s="870">
        <v>0.57000000000000006</v>
      </c>
      <c r="F37" s="870">
        <v>2.5073250000000002</v>
      </c>
      <c r="G37" s="870">
        <v>1.5449999999999999</v>
      </c>
      <c r="H37" s="870">
        <v>6.73</v>
      </c>
      <c r="I37" s="870">
        <v>0</v>
      </c>
      <c r="J37" s="870">
        <v>0</v>
      </c>
      <c r="K37" s="870">
        <v>0</v>
      </c>
      <c r="L37" s="870">
        <v>0</v>
      </c>
      <c r="M37" s="860" t="s">
        <v>876</v>
      </c>
    </row>
    <row r="38" spans="1:13">
      <c r="A38" s="847"/>
      <c r="B38" s="830" t="s">
        <v>997</v>
      </c>
      <c r="C38" s="870" t="s">
        <v>215</v>
      </c>
      <c r="D38" s="870" t="s">
        <v>215</v>
      </c>
      <c r="E38" s="870">
        <v>0.02</v>
      </c>
      <c r="F38" s="870">
        <v>0.09</v>
      </c>
      <c r="G38" s="870" t="s">
        <v>215</v>
      </c>
      <c r="H38" s="870" t="s">
        <v>215</v>
      </c>
      <c r="I38" s="870">
        <v>0</v>
      </c>
      <c r="J38" s="870">
        <v>0</v>
      </c>
      <c r="K38" s="870">
        <v>0</v>
      </c>
      <c r="L38" s="870">
        <v>0</v>
      </c>
    </row>
    <row r="39" spans="1:13">
      <c r="A39" s="847"/>
      <c r="B39" s="830" t="s">
        <v>987</v>
      </c>
      <c r="C39" s="870" t="s">
        <v>215</v>
      </c>
      <c r="D39" s="870" t="s">
        <v>215</v>
      </c>
      <c r="E39" s="870">
        <v>1</v>
      </c>
      <c r="F39" s="870">
        <v>1.4991800000000002</v>
      </c>
      <c r="G39" s="870" t="s">
        <v>215</v>
      </c>
      <c r="H39" s="870" t="s">
        <v>215</v>
      </c>
      <c r="I39" s="870">
        <v>0.2</v>
      </c>
      <c r="J39" s="870">
        <v>0.30918000000000001</v>
      </c>
      <c r="K39" s="870">
        <v>0.2</v>
      </c>
      <c r="L39" s="870">
        <v>0.3</v>
      </c>
    </row>
    <row r="40" spans="1:13">
      <c r="A40" s="847"/>
      <c r="B40" s="830" t="s">
        <v>998</v>
      </c>
      <c r="C40" s="870" t="s">
        <v>215</v>
      </c>
      <c r="D40" s="870" t="s">
        <v>215</v>
      </c>
      <c r="E40" s="870">
        <v>2.6999999999999997</v>
      </c>
      <c r="F40" s="870">
        <v>14.2658</v>
      </c>
      <c r="G40" s="870" t="s">
        <v>215</v>
      </c>
      <c r="H40" s="870" t="s">
        <v>215</v>
      </c>
      <c r="I40" s="870">
        <v>0.18</v>
      </c>
      <c r="J40" s="870">
        <v>0.92579999999999996</v>
      </c>
      <c r="K40" s="870">
        <v>0.05</v>
      </c>
      <c r="L40" s="870">
        <v>0.25</v>
      </c>
    </row>
    <row r="41" spans="1:13" ht="13.5" thickBot="1">
      <c r="A41" s="1052"/>
      <c r="B41" s="1039" t="s">
        <v>951</v>
      </c>
      <c r="C41" s="1053">
        <f>SUM(C35:C40)</f>
        <v>8.6300000000000008</v>
      </c>
      <c r="D41" s="1053">
        <f>SUM(D35:D40)</f>
        <v>42.150000000000006</v>
      </c>
      <c r="E41" s="1054">
        <f t="shared" ref="E41:L41" si="2">SUM(E35:E40)</f>
        <v>6.66</v>
      </c>
      <c r="F41" s="1054">
        <f t="shared" si="2"/>
        <v>32.152365000000003</v>
      </c>
      <c r="G41" s="1054">
        <f t="shared" si="2"/>
        <v>2.19</v>
      </c>
      <c r="H41" s="1054">
        <f t="shared" si="2"/>
        <v>11.22</v>
      </c>
      <c r="I41" s="1054">
        <f t="shared" si="2"/>
        <v>0.38</v>
      </c>
      <c r="J41" s="1054">
        <f t="shared" si="2"/>
        <v>1.23498</v>
      </c>
      <c r="K41" s="1054">
        <f t="shared" si="2"/>
        <v>0.37</v>
      </c>
      <c r="L41" s="1054">
        <f t="shared" si="2"/>
        <v>1.19</v>
      </c>
    </row>
    <row r="42" spans="1:13">
      <c r="A42" s="856" t="str">
        <f>'[1]64'!A17</f>
        <v>$ indicates as on February 28, 2021</v>
      </c>
      <c r="B42" s="859"/>
      <c r="C42" s="859"/>
      <c r="D42" s="859"/>
      <c r="I42" s="860" t="s">
        <v>876</v>
      </c>
      <c r="J42" s="860" t="s">
        <v>876</v>
      </c>
      <c r="L42" s="860" t="s">
        <v>876</v>
      </c>
    </row>
    <row r="43" spans="1:13">
      <c r="A43" s="856" t="s">
        <v>1115</v>
      </c>
      <c r="B43" s="859"/>
      <c r="C43" s="859"/>
      <c r="D43" s="859"/>
      <c r="H43" s="860" t="s">
        <v>876</v>
      </c>
      <c r="J43" s="860" t="s">
        <v>876</v>
      </c>
      <c r="K43" s="860" t="s">
        <v>876</v>
      </c>
    </row>
    <row r="44" spans="1:13">
      <c r="A44" s="856" t="s">
        <v>1116</v>
      </c>
      <c r="B44" s="859"/>
      <c r="C44" s="859"/>
      <c r="D44" s="859"/>
      <c r="K44" s="860" t="s">
        <v>876</v>
      </c>
      <c r="L44" s="860" t="s">
        <v>876</v>
      </c>
    </row>
    <row r="45" spans="1:13">
      <c r="A45" s="1055" t="s">
        <v>1204</v>
      </c>
      <c r="B45" s="1055"/>
      <c r="C45" s="1055"/>
      <c r="D45" s="1055"/>
      <c r="E45" s="1055"/>
      <c r="F45" s="1055"/>
      <c r="G45" s="1055"/>
    </row>
    <row r="46" spans="1:13">
      <c r="A46" s="859" t="s">
        <v>912</v>
      </c>
      <c r="K46" s="860" t="s">
        <v>876</v>
      </c>
      <c r="L46" s="860" t="s">
        <v>876</v>
      </c>
    </row>
  </sheetData>
  <mergeCells count="11">
    <mergeCell ref="A33:L33"/>
    <mergeCell ref="B34:L34"/>
    <mergeCell ref="B4:L4"/>
    <mergeCell ref="A1:L1"/>
    <mergeCell ref="A2:A3"/>
    <mergeCell ref="B2:B3"/>
    <mergeCell ref="C2:D2"/>
    <mergeCell ref="E2:F2"/>
    <mergeCell ref="G2:H2"/>
    <mergeCell ref="I2:J2"/>
    <mergeCell ref="K2:L2"/>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P91"/>
  <sheetViews>
    <sheetView zoomScaleNormal="100" zoomScaleSheetLayoutView="100" workbookViewId="0">
      <selection activeCell="G8" sqref="G8"/>
    </sheetView>
  </sheetViews>
  <sheetFormatPr defaultColWidth="9.140625" defaultRowHeight="12.75"/>
  <cols>
    <col min="1" max="1" width="7.28515625" style="860" bestFit="1" customWidth="1"/>
    <col min="2" max="2" width="33.28515625" style="860" customWidth="1"/>
    <col min="3" max="3" width="10.28515625" style="860" customWidth="1"/>
    <col min="4" max="4" width="9.7109375" style="860" customWidth="1"/>
    <col min="5" max="5" width="11.42578125" style="860" customWidth="1"/>
    <col min="6" max="6" width="9.85546875" style="860" customWidth="1"/>
    <col min="7" max="7" width="10.42578125" style="860" customWidth="1"/>
    <col min="8" max="8" width="9.5703125" style="860" customWidth="1"/>
    <col min="9" max="9" width="11.140625" style="860" customWidth="1"/>
    <col min="10" max="10" width="7.42578125" style="860" customWidth="1"/>
    <col min="11" max="11" width="7.7109375" style="860" customWidth="1"/>
    <col min="12" max="12" width="11.85546875" style="860" customWidth="1"/>
    <col min="13" max="13" width="11.28515625" style="860" bestFit="1" customWidth="1"/>
    <col min="14" max="14" width="11.28515625" style="860" customWidth="1"/>
    <col min="15" max="16384" width="9.140625" style="860"/>
  </cols>
  <sheetData>
    <row r="1" spans="1:14" ht="15">
      <c r="A1" s="874" t="s">
        <v>1205</v>
      </c>
      <c r="B1" s="874"/>
      <c r="C1" s="874"/>
      <c r="D1" s="874"/>
      <c r="E1" s="874"/>
      <c r="F1" s="874"/>
      <c r="G1" s="874"/>
      <c r="H1" s="874"/>
      <c r="I1" s="874" t="s">
        <v>876</v>
      </c>
      <c r="J1" s="874" t="s">
        <v>876</v>
      </c>
      <c r="K1" s="874"/>
      <c r="L1" s="874"/>
    </row>
    <row r="2" spans="1:14">
      <c r="A2" s="1448" t="s">
        <v>933</v>
      </c>
      <c r="B2" s="1448" t="s">
        <v>934</v>
      </c>
      <c r="C2" s="1458" t="s">
        <v>58</v>
      </c>
      <c r="D2" s="1460"/>
      <c r="E2" s="1458" t="s">
        <v>61</v>
      </c>
      <c r="F2" s="1460"/>
      <c r="G2" s="1458" t="s">
        <v>1200</v>
      </c>
      <c r="H2" s="1460"/>
      <c r="I2" s="1458" t="s">
        <v>1201</v>
      </c>
      <c r="J2" s="1460"/>
      <c r="K2" s="1458" t="s">
        <v>1202</v>
      </c>
      <c r="L2" s="1460"/>
    </row>
    <row r="3" spans="1:14" ht="38.25">
      <c r="A3" s="1553"/>
      <c r="B3" s="1449"/>
      <c r="C3" s="985" t="s">
        <v>910</v>
      </c>
      <c r="D3" s="985" t="s">
        <v>1097</v>
      </c>
      <c r="E3" s="985" t="s">
        <v>910</v>
      </c>
      <c r="F3" s="985" t="s">
        <v>1097</v>
      </c>
      <c r="G3" s="985" t="s">
        <v>910</v>
      </c>
      <c r="H3" s="985" t="s">
        <v>1097</v>
      </c>
      <c r="I3" s="985" t="s">
        <v>910</v>
      </c>
      <c r="J3" s="985" t="s">
        <v>1097</v>
      </c>
      <c r="K3" s="985" t="s">
        <v>910</v>
      </c>
      <c r="L3" s="985" t="s">
        <v>1097</v>
      </c>
    </row>
    <row r="4" spans="1:14" ht="19.5" customHeight="1">
      <c r="A4" s="1056"/>
      <c r="B4" s="1057"/>
      <c r="C4" s="1058"/>
      <c r="D4" s="1059"/>
      <c r="E4" s="1058"/>
      <c r="F4" s="1059"/>
      <c r="G4" s="1060" t="s">
        <v>875</v>
      </c>
      <c r="H4" s="1059"/>
      <c r="I4" s="1058"/>
      <c r="J4" s="1059"/>
      <c r="K4" s="1058"/>
      <c r="L4" s="1061"/>
    </row>
    <row r="5" spans="1:14" ht="15.75">
      <c r="A5" s="875">
        <v>1</v>
      </c>
      <c r="B5" s="1062" t="s">
        <v>1000</v>
      </c>
      <c r="C5" s="876"/>
      <c r="D5" s="876"/>
      <c r="E5" s="877"/>
      <c r="F5" s="877"/>
      <c r="G5" s="877"/>
      <c r="H5" s="877"/>
      <c r="I5" s="877"/>
      <c r="J5" s="877"/>
      <c r="K5" s="877"/>
      <c r="L5" s="878"/>
    </row>
    <row r="6" spans="1:14" ht="15.75">
      <c r="A6" s="879" t="s">
        <v>702</v>
      </c>
      <c r="B6" s="880" t="s">
        <v>1001</v>
      </c>
      <c r="C6" s="881"/>
      <c r="D6" s="881"/>
      <c r="E6" s="882"/>
      <c r="F6" s="882"/>
      <c r="G6" s="882"/>
      <c r="H6" s="882"/>
      <c r="I6" s="882"/>
      <c r="J6" s="882"/>
      <c r="K6" s="882"/>
      <c r="L6" s="882"/>
    </row>
    <row r="7" spans="1:14">
      <c r="A7" s="847"/>
      <c r="B7" s="883" t="s">
        <v>1002</v>
      </c>
      <c r="C7" s="884">
        <v>778271.69</v>
      </c>
      <c r="D7" s="884">
        <v>27629.265237410007</v>
      </c>
      <c r="E7" s="885">
        <v>14577.02</v>
      </c>
      <c r="F7" s="885">
        <v>554.31585099999995</v>
      </c>
      <c r="G7" s="885">
        <v>8493.8119999999999</v>
      </c>
      <c r="H7" s="885">
        <v>3041.115237410007</v>
      </c>
      <c r="I7" s="885">
        <v>1.84</v>
      </c>
      <c r="J7" s="885">
        <v>5.169E-2</v>
      </c>
      <c r="K7" s="884">
        <v>0.57999999999999996</v>
      </c>
      <c r="L7" s="884">
        <v>0.20805399999999999</v>
      </c>
    </row>
    <row r="8" spans="1:14">
      <c r="A8" s="847"/>
      <c r="B8" s="883" t="s">
        <v>1003</v>
      </c>
      <c r="C8" s="884">
        <v>5676.0560000000005</v>
      </c>
      <c r="D8" s="884">
        <v>90.721409925000003</v>
      </c>
      <c r="E8" s="885">
        <v>1.04</v>
      </c>
      <c r="F8" s="885">
        <v>4.1949999999999999E-3</v>
      </c>
      <c r="G8" s="885">
        <v>6.0000000000000001E-3</v>
      </c>
      <c r="H8" s="885">
        <v>9.4192499999999992E-4</v>
      </c>
      <c r="I8" s="885">
        <v>0</v>
      </c>
      <c r="J8" s="886">
        <v>0</v>
      </c>
      <c r="K8" s="884">
        <v>0.85</v>
      </c>
      <c r="L8" s="884">
        <v>1E-3</v>
      </c>
    </row>
    <row r="9" spans="1:14">
      <c r="A9" s="847"/>
      <c r="B9" s="883" t="s">
        <v>1004</v>
      </c>
      <c r="C9" s="884">
        <v>4.29</v>
      </c>
      <c r="D9" s="884">
        <v>4.2880000000000001E-2</v>
      </c>
      <c r="E9" s="886">
        <v>0.04</v>
      </c>
      <c r="F9" s="886">
        <v>3.9552000000000001E-4</v>
      </c>
      <c r="G9" s="884">
        <v>0.32</v>
      </c>
      <c r="H9" s="884">
        <v>2.8800000000000002E-3</v>
      </c>
      <c r="I9" s="885" t="s">
        <v>215</v>
      </c>
      <c r="J9" s="885" t="s">
        <v>215</v>
      </c>
      <c r="K9" s="884">
        <v>0.04</v>
      </c>
      <c r="L9" s="884">
        <v>3.9552000000000001E-4</v>
      </c>
    </row>
    <row r="10" spans="1:14" ht="13.5" thickBot="1">
      <c r="A10" s="1063"/>
      <c r="B10" s="1064" t="s">
        <v>1005</v>
      </c>
      <c r="C10" s="896"/>
      <c r="D10" s="896">
        <f>SUM(D7:D9)</f>
        <v>27720.029527335009</v>
      </c>
      <c r="E10" s="896"/>
      <c r="F10" s="897">
        <f>SUM(F7:F9)</f>
        <v>554.32044151999992</v>
      </c>
      <c r="G10" s="896"/>
      <c r="H10" s="897">
        <f>SUM(H7:H9)</f>
        <v>3041.119059335007</v>
      </c>
      <c r="I10" s="896"/>
      <c r="J10" s="897">
        <f>SUM(J7:J9)</f>
        <v>5.169E-2</v>
      </c>
      <c r="K10" s="896"/>
      <c r="L10" s="897">
        <f>SUM(L7:L9)</f>
        <v>0.20944952</v>
      </c>
      <c r="M10" s="1046"/>
    </row>
    <row r="11" spans="1:14">
      <c r="A11" s="1065" t="s">
        <v>758</v>
      </c>
      <c r="B11" s="888" t="s">
        <v>1006</v>
      </c>
      <c r="C11" s="889"/>
      <c r="D11" s="889"/>
      <c r="E11" s="875"/>
      <c r="F11" s="875"/>
      <c r="G11" s="875"/>
      <c r="H11" s="875"/>
      <c r="I11" s="875"/>
      <c r="J11" s="875"/>
      <c r="K11" s="875"/>
      <c r="L11" s="875"/>
    </row>
    <row r="12" spans="1:14">
      <c r="A12" s="879"/>
      <c r="B12" s="883" t="s">
        <v>1007</v>
      </c>
      <c r="C12" s="884">
        <v>2450.71</v>
      </c>
      <c r="D12" s="884">
        <v>7437.7305900000001</v>
      </c>
      <c r="E12" s="885">
        <v>259.07</v>
      </c>
      <c r="F12" s="885">
        <v>775.73068000000001</v>
      </c>
      <c r="G12" s="884">
        <v>22.443000000000001</v>
      </c>
      <c r="H12" s="884">
        <v>714.0305900000003</v>
      </c>
      <c r="I12" s="884">
        <v>2.68</v>
      </c>
      <c r="J12" s="884">
        <v>10.340680000000001</v>
      </c>
      <c r="K12" s="884">
        <v>4.25</v>
      </c>
      <c r="L12" s="884">
        <v>15.99</v>
      </c>
    </row>
    <row r="13" spans="1:14" ht="13.5" thickBot="1">
      <c r="A13" s="1063"/>
      <c r="B13" s="1064" t="s">
        <v>1008</v>
      </c>
      <c r="C13" s="896">
        <f>SUM(C12)</f>
        <v>2450.71</v>
      </c>
      <c r="D13" s="896">
        <f>SUM(D12)</f>
        <v>7437.7305900000001</v>
      </c>
      <c r="E13" s="897">
        <f t="shared" ref="E13:L13" si="0">SUM(E12)</f>
        <v>259.07</v>
      </c>
      <c r="F13" s="897">
        <f t="shared" si="0"/>
        <v>775.73068000000001</v>
      </c>
      <c r="G13" s="897">
        <f t="shared" si="0"/>
        <v>22.443000000000001</v>
      </c>
      <c r="H13" s="897">
        <f t="shared" si="0"/>
        <v>714.0305900000003</v>
      </c>
      <c r="I13" s="896">
        <f>SUM(I12)</f>
        <v>2.68</v>
      </c>
      <c r="J13" s="896">
        <f>SUM(J12)</f>
        <v>10.340680000000001</v>
      </c>
      <c r="K13" s="897">
        <f t="shared" si="0"/>
        <v>4.25</v>
      </c>
      <c r="L13" s="897">
        <f t="shared" si="0"/>
        <v>15.99</v>
      </c>
      <c r="M13" s="1046"/>
      <c r="N13" s="1046"/>
    </row>
    <row r="14" spans="1:14">
      <c r="A14" s="1065" t="s">
        <v>771</v>
      </c>
      <c r="B14" s="1066" t="s">
        <v>1009</v>
      </c>
      <c r="C14" s="889"/>
      <c r="D14" s="889" t="s">
        <v>876</v>
      </c>
      <c r="E14" s="875"/>
      <c r="F14" s="875"/>
      <c r="G14" s="875" t="s">
        <v>876</v>
      </c>
      <c r="H14" s="875"/>
      <c r="I14" s="875"/>
      <c r="J14" s="875"/>
      <c r="K14" s="875"/>
      <c r="L14" s="875"/>
    </row>
    <row r="15" spans="1:14">
      <c r="A15" s="847"/>
      <c r="B15" s="891" t="s">
        <v>1010</v>
      </c>
      <c r="C15" s="884">
        <v>32.909999999999997</v>
      </c>
      <c r="D15" s="884">
        <v>319.81</v>
      </c>
      <c r="E15" s="884" t="s">
        <v>215</v>
      </c>
      <c r="F15" s="884" t="s">
        <v>215</v>
      </c>
      <c r="G15" s="884">
        <v>0</v>
      </c>
      <c r="H15" s="884">
        <v>0</v>
      </c>
      <c r="I15" s="886" t="s">
        <v>215</v>
      </c>
      <c r="J15" s="886" t="s">
        <v>215</v>
      </c>
      <c r="K15" s="886" t="s">
        <v>215</v>
      </c>
      <c r="L15" s="886" t="s">
        <v>215</v>
      </c>
    </row>
    <row r="16" spans="1:14">
      <c r="A16" s="847"/>
      <c r="B16" s="891" t="s">
        <v>1011</v>
      </c>
      <c r="C16" s="884">
        <v>27.004000000000001</v>
      </c>
      <c r="D16" s="884">
        <v>941.64445999999998</v>
      </c>
      <c r="E16" s="884" t="s">
        <v>215</v>
      </c>
      <c r="F16" s="884" t="s">
        <v>215</v>
      </c>
      <c r="G16" s="884">
        <v>4.0000000000000001E-3</v>
      </c>
      <c r="H16" s="884">
        <v>0.13446</v>
      </c>
      <c r="I16" s="886" t="s">
        <v>215</v>
      </c>
      <c r="J16" s="886" t="s">
        <v>215</v>
      </c>
      <c r="K16" s="886" t="s">
        <v>215</v>
      </c>
      <c r="L16" s="886" t="s">
        <v>215</v>
      </c>
    </row>
    <row r="17" spans="1:16">
      <c r="A17" s="847"/>
      <c r="B17" s="891" t="s">
        <v>1012</v>
      </c>
      <c r="C17" s="884">
        <v>146.98099999999999</v>
      </c>
      <c r="D17" s="884">
        <v>2034.2129190000003</v>
      </c>
      <c r="E17" s="884">
        <v>10.772600000000001</v>
      </c>
      <c r="F17" s="884">
        <v>128.87764999999999</v>
      </c>
      <c r="G17" s="884">
        <v>11.021000000000001</v>
      </c>
      <c r="H17" s="884">
        <v>149.7229190000003</v>
      </c>
      <c r="I17" s="884">
        <v>0.182</v>
      </c>
      <c r="J17" s="884">
        <v>2.819</v>
      </c>
      <c r="K17" s="714">
        <v>0.16300000000000001</v>
      </c>
      <c r="L17" s="714">
        <v>2.5779999999999998</v>
      </c>
    </row>
    <row r="18" spans="1:16">
      <c r="A18" s="847"/>
      <c r="B18" s="883" t="s">
        <v>1013</v>
      </c>
      <c r="C18" s="884">
        <v>614.86</v>
      </c>
      <c r="D18" s="884">
        <v>2057.8877600000001</v>
      </c>
      <c r="E18" s="884">
        <v>54.44</v>
      </c>
      <c r="F18" s="884">
        <v>185.04285999999999</v>
      </c>
      <c r="G18" s="892">
        <v>7.6189999999999998</v>
      </c>
      <c r="H18" s="892">
        <v>241.44775999999993</v>
      </c>
      <c r="I18" s="886" t="s">
        <v>215</v>
      </c>
      <c r="J18" s="886" t="s">
        <v>215</v>
      </c>
      <c r="K18" s="886" t="s">
        <v>215</v>
      </c>
      <c r="L18" s="886" t="s">
        <v>215</v>
      </c>
    </row>
    <row r="19" spans="1:16">
      <c r="A19" s="893"/>
      <c r="B19" s="887" t="s">
        <v>1014</v>
      </c>
      <c r="C19" s="875">
        <f>SUM(C15:C18)</f>
        <v>821.755</v>
      </c>
      <c r="D19" s="875">
        <f>SUM(D15:D18)</f>
        <v>5353.5551390000001</v>
      </c>
      <c r="E19" s="875">
        <f t="shared" ref="E19:L19" si="1">SUM(E15:E18)</f>
        <v>65.212599999999995</v>
      </c>
      <c r="F19" s="875">
        <f t="shared" si="1"/>
        <v>313.92050999999998</v>
      </c>
      <c r="G19" s="875">
        <f t="shared" si="1"/>
        <v>18.643999999999998</v>
      </c>
      <c r="H19" s="875">
        <f t="shared" si="1"/>
        <v>391.30513900000022</v>
      </c>
      <c r="I19" s="875">
        <f t="shared" si="1"/>
        <v>0.182</v>
      </c>
      <c r="J19" s="875">
        <f t="shared" si="1"/>
        <v>2.819</v>
      </c>
      <c r="K19" s="875">
        <f>SUM(K15:K18)</f>
        <v>0.16300000000000001</v>
      </c>
      <c r="L19" s="875">
        <f t="shared" si="1"/>
        <v>2.5779999999999998</v>
      </c>
      <c r="M19" s="1046"/>
      <c r="N19" s="1046"/>
    </row>
    <row r="20" spans="1:16" ht="13.5" thickBot="1">
      <c r="A20" s="894"/>
      <c r="B20" s="895" t="s">
        <v>1015</v>
      </c>
      <c r="C20" s="896">
        <f>SUM(C13,C19)</f>
        <v>3272.4650000000001</v>
      </c>
      <c r="D20" s="896">
        <f>SUM(D10,D13,D19)</f>
        <v>40511.315256335016</v>
      </c>
      <c r="E20" s="896">
        <f>SUM(E13,E19)</f>
        <v>324.2826</v>
      </c>
      <c r="F20" s="897">
        <f>SUM(F10,F13,F19)</f>
        <v>1643.9716315199998</v>
      </c>
      <c r="G20" s="896">
        <f>SUM(G13,G19)</f>
        <v>41.087000000000003</v>
      </c>
      <c r="H20" s="897">
        <f>SUM(H10,H13,H19)</f>
        <v>4146.4547883350078</v>
      </c>
      <c r="I20" s="896">
        <f>SUM(I13,I19)</f>
        <v>2.8620000000000001</v>
      </c>
      <c r="J20" s="896">
        <f>SUM(J10,J13,J19)</f>
        <v>13.211370000000002</v>
      </c>
      <c r="K20" s="896">
        <f>SUM(K13,K19)</f>
        <v>4.4130000000000003</v>
      </c>
      <c r="L20" s="896">
        <f>SUM(L10,L13,L19)</f>
        <v>18.777449520000001</v>
      </c>
      <c r="M20" s="1046"/>
      <c r="N20" s="1046"/>
    </row>
    <row r="21" spans="1:16" ht="19.5" thickBot="1">
      <c r="A21" s="875">
        <v>2</v>
      </c>
      <c r="B21" s="1554" t="s">
        <v>88</v>
      </c>
      <c r="C21" s="1555"/>
      <c r="D21" s="1555"/>
      <c r="E21" s="1555"/>
      <c r="F21" s="1555"/>
      <c r="G21" s="1555"/>
      <c r="H21" s="1555"/>
      <c r="I21" s="1555"/>
      <c r="J21" s="1555"/>
      <c r="K21" s="1555"/>
      <c r="L21" s="1555"/>
    </row>
    <row r="22" spans="1:16" ht="15.75">
      <c r="A22" s="898"/>
      <c r="B22" s="1067" t="s">
        <v>1016</v>
      </c>
      <c r="C22" s="904"/>
      <c r="D22" s="904"/>
      <c r="E22" s="1002"/>
      <c r="F22" s="1002"/>
      <c r="G22" s="1002"/>
      <c r="H22" s="1002"/>
      <c r="I22" s="1002"/>
      <c r="J22" s="1002"/>
      <c r="K22" s="1002" t="s">
        <v>876</v>
      </c>
      <c r="L22" s="1002" t="s">
        <v>876</v>
      </c>
    </row>
    <row r="23" spans="1:16" ht="15.75">
      <c r="A23" s="898" t="s">
        <v>702</v>
      </c>
      <c r="B23" s="890" t="s">
        <v>888</v>
      </c>
      <c r="C23" s="899"/>
      <c r="D23" s="900"/>
      <c r="E23" s="1000"/>
      <c r="F23" s="1000"/>
      <c r="G23" s="1002"/>
      <c r="H23" s="1002"/>
      <c r="I23" s="1000"/>
      <c r="J23" s="1000"/>
      <c r="K23" s="1000"/>
      <c r="L23" s="1000"/>
    </row>
    <row r="24" spans="1:16">
      <c r="A24" s="847"/>
      <c r="B24" s="891" t="s">
        <v>935</v>
      </c>
      <c r="C24" s="901">
        <v>1.0151E-2</v>
      </c>
      <c r="D24" s="884">
        <v>3847.8082600000012</v>
      </c>
      <c r="E24" s="902">
        <v>5.0000000000000004E-6</v>
      </c>
      <c r="F24" s="902">
        <v>2.5385900000000001</v>
      </c>
      <c r="G24" s="886">
        <v>6.0000000000000001E-3</v>
      </c>
      <c r="H24" s="886">
        <v>2.4326399999999997</v>
      </c>
      <c r="I24" s="902">
        <v>0</v>
      </c>
      <c r="J24" s="902">
        <v>0</v>
      </c>
      <c r="K24" s="902">
        <v>0</v>
      </c>
      <c r="L24" s="902">
        <v>0</v>
      </c>
    </row>
    <row r="25" spans="1:16">
      <c r="A25" s="847"/>
      <c r="B25" s="891" t="s">
        <v>1017</v>
      </c>
      <c r="C25" s="903">
        <v>5.5579000000000002E-3</v>
      </c>
      <c r="D25" s="884">
        <v>1903.4624079999994</v>
      </c>
      <c r="E25" s="902">
        <v>1.2673999999999999E-3</v>
      </c>
      <c r="F25" s="886">
        <v>613.00202500000012</v>
      </c>
      <c r="G25" s="886">
        <v>0.23440000000000005</v>
      </c>
      <c r="H25" s="886">
        <v>96.771813000000009</v>
      </c>
      <c r="I25" s="886">
        <v>2.2200000000000001E-5</v>
      </c>
      <c r="J25" s="902">
        <v>11.035423000000002</v>
      </c>
      <c r="K25" s="902">
        <v>2.2100000000000002E-5</v>
      </c>
      <c r="L25" s="902">
        <v>10.479917999999998</v>
      </c>
    </row>
    <row r="26" spans="1:16">
      <c r="A26" s="847"/>
      <c r="B26" s="891" t="s">
        <v>936</v>
      </c>
      <c r="C26" s="903">
        <v>5.94E-3</v>
      </c>
      <c r="D26" s="884">
        <v>22.331526</v>
      </c>
      <c r="E26" s="902">
        <v>0</v>
      </c>
      <c r="F26" s="902">
        <v>0</v>
      </c>
      <c r="G26" s="902">
        <v>0</v>
      </c>
      <c r="H26" s="902">
        <v>0</v>
      </c>
      <c r="I26" s="902">
        <v>0</v>
      </c>
      <c r="J26" s="902">
        <v>0</v>
      </c>
      <c r="K26" s="902">
        <v>0</v>
      </c>
      <c r="L26" s="902">
        <v>0</v>
      </c>
      <c r="M26" s="1046"/>
      <c r="N26" s="1046"/>
      <c r="O26" s="1046"/>
      <c r="P26" s="1046"/>
    </row>
    <row r="27" spans="1:16" ht="13.5" thickBot="1">
      <c r="A27" s="936"/>
      <c r="B27" s="895" t="s">
        <v>1018</v>
      </c>
      <c r="C27" s="896">
        <f>SUM(C24:C26)</f>
        <v>2.1648900000000002E-2</v>
      </c>
      <c r="D27" s="896">
        <f>SUM(D24:D26)</f>
        <v>5773.602194000001</v>
      </c>
      <c r="E27" s="1068">
        <f t="shared" ref="E27:L27" si="2">SUM(E24:E26)</f>
        <v>1.2723999999999999E-3</v>
      </c>
      <c r="F27" s="1068">
        <f t="shared" si="2"/>
        <v>615.54061500000012</v>
      </c>
      <c r="G27" s="1068">
        <f>SUM(G24:G26)</f>
        <v>0.24040000000000006</v>
      </c>
      <c r="H27" s="1068">
        <f t="shared" si="2"/>
        <v>99.204453000000015</v>
      </c>
      <c r="I27" s="1068">
        <f t="shared" si="2"/>
        <v>2.2200000000000001E-5</v>
      </c>
      <c r="J27" s="1068">
        <f t="shared" si="2"/>
        <v>11.035423000000002</v>
      </c>
      <c r="K27" s="1068">
        <f t="shared" si="2"/>
        <v>2.2100000000000002E-5</v>
      </c>
      <c r="L27" s="1068">
        <f t="shared" si="2"/>
        <v>10.479917999999998</v>
      </c>
      <c r="M27" s="1046"/>
      <c r="N27" s="1046"/>
    </row>
    <row r="28" spans="1:16">
      <c r="A28" s="1069" t="s">
        <v>758</v>
      </c>
      <c r="B28" s="904" t="s">
        <v>889</v>
      </c>
      <c r="C28" s="875"/>
      <c r="D28" s="875"/>
      <c r="E28" s="1070"/>
      <c r="F28" s="1070"/>
      <c r="G28" s="884"/>
      <c r="H28" s="884"/>
      <c r="I28" s="1070"/>
      <c r="J28" s="1070"/>
      <c r="K28" s="1070"/>
      <c r="L28" s="1070" t="s">
        <v>876</v>
      </c>
    </row>
    <row r="29" spans="1:16">
      <c r="A29" s="847"/>
      <c r="B29" s="905" t="s">
        <v>1019</v>
      </c>
      <c r="C29" s="884">
        <v>8.2114597544338298E-4</v>
      </c>
      <c r="D29" s="884">
        <v>256.75670000000002</v>
      </c>
      <c r="E29" s="902">
        <v>0</v>
      </c>
      <c r="F29" s="902">
        <v>0</v>
      </c>
      <c r="G29" s="906">
        <v>0.20054570259208737</v>
      </c>
      <c r="H29" s="906">
        <v>58.146659999999997</v>
      </c>
      <c r="I29" s="902">
        <v>0</v>
      </c>
      <c r="J29" s="902">
        <v>0</v>
      </c>
      <c r="K29" s="902">
        <v>0</v>
      </c>
      <c r="L29" s="902">
        <v>0</v>
      </c>
    </row>
    <row r="30" spans="1:16">
      <c r="A30" s="847"/>
      <c r="B30" s="905" t="s">
        <v>1020</v>
      </c>
      <c r="C30" s="884">
        <v>1.00418826739427E-2</v>
      </c>
      <c r="D30" s="884">
        <v>331.94038100000012</v>
      </c>
      <c r="E30" s="902">
        <v>0</v>
      </c>
      <c r="F30" s="902">
        <v>0</v>
      </c>
      <c r="G30" s="906">
        <v>0</v>
      </c>
      <c r="H30" s="906">
        <v>0</v>
      </c>
      <c r="I30" s="902">
        <v>0</v>
      </c>
      <c r="J30" s="902">
        <v>0</v>
      </c>
      <c r="K30" s="902">
        <v>0</v>
      </c>
      <c r="L30" s="902">
        <v>0</v>
      </c>
    </row>
    <row r="31" spans="1:16" ht="13.5" thickBot="1">
      <c r="A31" s="936"/>
      <c r="B31" s="1071" t="s">
        <v>1021</v>
      </c>
      <c r="C31" s="896">
        <f>SUM(C29:C30)</f>
        <v>1.0863028649386083E-2</v>
      </c>
      <c r="D31" s="896">
        <f t="shared" ref="D31:L31" si="3">SUM(D29:D30)</f>
        <v>588.69708100000014</v>
      </c>
      <c r="E31" s="1072">
        <f t="shared" si="3"/>
        <v>0</v>
      </c>
      <c r="F31" s="1072">
        <f t="shared" si="3"/>
        <v>0</v>
      </c>
      <c r="G31" s="1072">
        <f t="shared" si="3"/>
        <v>0.20054570259208737</v>
      </c>
      <c r="H31" s="1072">
        <f t="shared" si="3"/>
        <v>58.146659999999997</v>
      </c>
      <c r="I31" s="1072">
        <f t="shared" si="3"/>
        <v>0</v>
      </c>
      <c r="J31" s="1072">
        <f t="shared" si="3"/>
        <v>0</v>
      </c>
      <c r="K31" s="1072">
        <f t="shared" si="3"/>
        <v>0</v>
      </c>
      <c r="L31" s="1072">
        <f t="shared" si="3"/>
        <v>0</v>
      </c>
    </row>
    <row r="32" spans="1:16">
      <c r="A32" s="1073" t="s">
        <v>771</v>
      </c>
      <c r="B32" s="1074" t="s">
        <v>1009</v>
      </c>
      <c r="C32" s="907"/>
      <c r="D32" s="907"/>
      <c r="E32" s="907"/>
      <c r="F32" s="907"/>
      <c r="G32" s="907"/>
      <c r="H32" s="907"/>
      <c r="I32" s="907"/>
      <c r="J32" s="907"/>
      <c r="K32" s="907"/>
      <c r="L32" s="907"/>
    </row>
    <row r="33" spans="1:14">
      <c r="B33" s="908" t="s">
        <v>1022</v>
      </c>
      <c r="C33" s="901" t="s">
        <v>215</v>
      </c>
      <c r="D33" s="909" t="s">
        <v>215</v>
      </c>
      <c r="E33" s="910">
        <v>293.58000000000004</v>
      </c>
      <c r="F33" s="910">
        <v>3180.3893800000005</v>
      </c>
      <c r="G33" s="901">
        <v>0</v>
      </c>
      <c r="H33" s="901">
        <v>0</v>
      </c>
      <c r="I33" s="901">
        <v>74.930000000000007</v>
      </c>
      <c r="J33" s="901">
        <v>826.19159999999999</v>
      </c>
      <c r="K33" s="910">
        <v>84.03</v>
      </c>
      <c r="L33" s="910">
        <v>920.27394000000004</v>
      </c>
    </row>
    <row r="34" spans="1:14" ht="13.5" thickBot="1">
      <c r="A34" s="1075"/>
      <c r="B34" s="1071" t="s">
        <v>1023</v>
      </c>
      <c r="C34" s="1076" t="s">
        <v>215</v>
      </c>
      <c r="D34" s="1077" t="s">
        <v>215</v>
      </c>
      <c r="E34" s="1078">
        <f t="shared" ref="E34:L34" si="4">SUM(E33)</f>
        <v>293.58000000000004</v>
      </c>
      <c r="F34" s="1078">
        <f t="shared" si="4"/>
        <v>3180.3893800000005</v>
      </c>
      <c r="G34" s="1078">
        <f t="shared" si="4"/>
        <v>0</v>
      </c>
      <c r="H34" s="1078">
        <f t="shared" si="4"/>
        <v>0</v>
      </c>
      <c r="I34" s="1078">
        <f t="shared" si="4"/>
        <v>74.930000000000007</v>
      </c>
      <c r="J34" s="1078">
        <f t="shared" si="4"/>
        <v>826.19159999999999</v>
      </c>
      <c r="K34" s="1078">
        <f t="shared" si="4"/>
        <v>84.03</v>
      </c>
      <c r="L34" s="1078">
        <f t="shared" si="4"/>
        <v>920.27394000000004</v>
      </c>
    </row>
    <row r="35" spans="1:14">
      <c r="A35" s="1069" t="s">
        <v>952</v>
      </c>
      <c r="B35" s="1082" t="s">
        <v>1100</v>
      </c>
      <c r="C35" s="875"/>
      <c r="D35" s="875"/>
      <c r="E35" s="907"/>
      <c r="F35" s="907"/>
      <c r="G35" s="907"/>
      <c r="H35" s="907"/>
      <c r="I35" s="907"/>
      <c r="J35" s="907"/>
      <c r="K35" s="907"/>
      <c r="L35" s="907"/>
    </row>
    <row r="36" spans="1:14">
      <c r="A36" s="1101"/>
      <c r="B36" s="905" t="s">
        <v>940</v>
      </c>
      <c r="C36" s="875" t="s">
        <v>215</v>
      </c>
      <c r="D36" s="875" t="s">
        <v>215</v>
      </c>
      <c r="E36" s="907">
        <v>5.5E-2</v>
      </c>
      <c r="F36" s="907">
        <v>3.8152374999999994</v>
      </c>
      <c r="G36" s="907">
        <v>0</v>
      </c>
      <c r="H36" s="907">
        <v>0</v>
      </c>
      <c r="I36" s="907"/>
      <c r="J36" s="907"/>
      <c r="K36" s="907"/>
      <c r="L36" s="907"/>
    </row>
    <row r="37" spans="1:14">
      <c r="A37" s="1101"/>
      <c r="B37" s="911" t="s">
        <v>1206</v>
      </c>
      <c r="C37" s="875" t="s">
        <v>215</v>
      </c>
      <c r="D37" s="875" t="s">
        <v>215</v>
      </c>
      <c r="E37" s="907">
        <f t="shared" ref="E37:J37" si="5">SUM(E36)</f>
        <v>5.5E-2</v>
      </c>
      <c r="F37" s="907">
        <f t="shared" si="5"/>
        <v>3.8152374999999994</v>
      </c>
      <c r="G37" s="907">
        <f t="shared" si="5"/>
        <v>0</v>
      </c>
      <c r="H37" s="907">
        <f t="shared" si="5"/>
        <v>0</v>
      </c>
      <c r="I37" s="907">
        <f t="shared" si="5"/>
        <v>0</v>
      </c>
      <c r="J37" s="907">
        <f t="shared" si="5"/>
        <v>0</v>
      </c>
      <c r="K37" s="907">
        <v>5.5E-2</v>
      </c>
      <c r="L37" s="907">
        <v>3.8152374999999994</v>
      </c>
    </row>
    <row r="38" spans="1:14" ht="13.5" thickBot="1">
      <c r="A38" s="936"/>
      <c r="B38" s="1102" t="s">
        <v>1207</v>
      </c>
      <c r="C38" s="1088">
        <f t="shared" ref="C38:L38" si="6">SUM(C27,C31,C34,C37)</f>
        <v>3.2511928649386082E-2</v>
      </c>
      <c r="D38" s="1088">
        <f t="shared" si="6"/>
        <v>6362.2992750000012</v>
      </c>
      <c r="E38" s="1088">
        <f t="shared" si="6"/>
        <v>293.63627240000005</v>
      </c>
      <c r="F38" s="1088">
        <f t="shared" si="6"/>
        <v>3799.7452325000004</v>
      </c>
      <c r="G38" s="1088">
        <f t="shared" si="6"/>
        <v>0.44094570259208743</v>
      </c>
      <c r="H38" s="1088">
        <f t="shared" si="6"/>
        <v>157.351113</v>
      </c>
      <c r="I38" s="1088">
        <f t="shared" si="6"/>
        <v>74.93002220000001</v>
      </c>
      <c r="J38" s="1088">
        <f t="shared" si="6"/>
        <v>837.22702300000003</v>
      </c>
      <c r="K38" s="1088">
        <f t="shared" si="6"/>
        <v>84.085022100000003</v>
      </c>
      <c r="L38" s="1088">
        <f t="shared" si="6"/>
        <v>934.5690955</v>
      </c>
      <c r="M38" s="1046"/>
      <c r="N38" s="1046"/>
    </row>
    <row r="39" spans="1:14" ht="16.5" thickBot="1">
      <c r="A39" s="1079"/>
      <c r="B39" s="1079" t="s">
        <v>1024</v>
      </c>
      <c r="C39" s="1080"/>
      <c r="D39" s="1080"/>
      <c r="E39" s="1081"/>
      <c r="F39" s="1081"/>
      <c r="G39" s="1081"/>
      <c r="H39" s="1081"/>
      <c r="I39" s="1081"/>
      <c r="J39" s="1081"/>
      <c r="K39" s="1081"/>
      <c r="L39" s="1081"/>
    </row>
    <row r="40" spans="1:14">
      <c r="A40" s="1069" t="s">
        <v>956</v>
      </c>
      <c r="B40" s="1082" t="s">
        <v>888</v>
      </c>
      <c r="C40" s="881"/>
      <c r="D40" s="881"/>
      <c r="E40" s="912"/>
      <c r="F40" s="912"/>
      <c r="G40" s="913"/>
      <c r="H40" s="913"/>
      <c r="I40" s="913"/>
      <c r="J40" s="913"/>
      <c r="K40" s="913"/>
      <c r="L40" s="913"/>
    </row>
    <row r="41" spans="1:14">
      <c r="A41" s="914"/>
      <c r="B41" s="908" t="s">
        <v>1017</v>
      </c>
      <c r="C41" s="901" t="s">
        <v>215</v>
      </c>
      <c r="D41" s="909" t="s">
        <v>215</v>
      </c>
      <c r="E41" s="915">
        <v>3.9424399999999991E-2</v>
      </c>
      <c r="F41" s="915">
        <v>20045.466182999997</v>
      </c>
      <c r="G41" s="906">
        <v>0</v>
      </c>
      <c r="H41" s="906">
        <v>0</v>
      </c>
      <c r="I41" s="916">
        <v>3.0536000000000005E-3</v>
      </c>
      <c r="J41" s="916">
        <v>1537.8181204999994</v>
      </c>
      <c r="K41" s="906">
        <v>3.7701000000000011E-3</v>
      </c>
      <c r="L41" s="906">
        <v>1913.7781234999993</v>
      </c>
    </row>
    <row r="42" spans="1:14" ht="13.5" thickBot="1">
      <c r="A42" s="917"/>
      <c r="B42" s="895" t="s">
        <v>1208</v>
      </c>
      <c r="C42" s="918" t="s">
        <v>215</v>
      </c>
      <c r="D42" s="919" t="s">
        <v>215</v>
      </c>
      <c r="E42" s="920">
        <f t="shared" ref="E42:J42" si="7">SUM(E41)</f>
        <v>3.9424399999999991E-2</v>
      </c>
      <c r="F42" s="920">
        <f t="shared" si="7"/>
        <v>20045.466182999997</v>
      </c>
      <c r="G42" s="921">
        <f t="shared" si="7"/>
        <v>0</v>
      </c>
      <c r="H42" s="921">
        <f t="shared" si="7"/>
        <v>0</v>
      </c>
      <c r="I42" s="921">
        <f t="shared" si="7"/>
        <v>3.0536000000000005E-3</v>
      </c>
      <c r="J42" s="922">
        <f t="shared" si="7"/>
        <v>1537.8181204999994</v>
      </c>
      <c r="K42" s="921">
        <f>SUM(K41)</f>
        <v>3.7701000000000011E-3</v>
      </c>
      <c r="L42" s="921">
        <f>SUM(L41)</f>
        <v>1913.7781234999993</v>
      </c>
      <c r="M42" s="1046"/>
      <c r="N42" s="1046"/>
    </row>
    <row r="43" spans="1:14" ht="13.5" thickBot="1">
      <c r="A43" s="1083"/>
      <c r="B43" s="1080"/>
      <c r="C43" s="1080"/>
      <c r="D43" s="1080"/>
      <c r="E43" s="1084"/>
      <c r="F43" s="1085"/>
      <c r="G43" s="1086"/>
      <c r="H43" s="1085"/>
      <c r="I43" s="1084"/>
      <c r="J43" s="1085"/>
      <c r="K43" s="1084" t="s">
        <v>876</v>
      </c>
      <c r="L43" s="1085"/>
    </row>
    <row r="44" spans="1:14" ht="19.5" thickBot="1">
      <c r="A44" s="1077">
        <v>3</v>
      </c>
      <c r="B44" s="1556" t="s">
        <v>87</v>
      </c>
      <c r="C44" s="1557"/>
      <c r="D44" s="1557"/>
      <c r="E44" s="1557"/>
      <c r="F44" s="1557"/>
      <c r="G44" s="1557"/>
      <c r="H44" s="1557"/>
      <c r="I44" s="1557"/>
      <c r="J44" s="1557"/>
      <c r="K44" s="1557"/>
      <c r="L44" s="1557"/>
    </row>
    <row r="45" spans="1:14" ht="15.75">
      <c r="A45" s="898"/>
      <c r="B45" s="1067" t="s">
        <v>1025</v>
      </c>
      <c r="C45" s="904"/>
      <c r="D45" s="904"/>
      <c r="E45" s="1002"/>
      <c r="F45" s="1002"/>
      <c r="G45" s="1002"/>
      <c r="H45" s="1002"/>
      <c r="I45" s="1002"/>
      <c r="J45" s="1002"/>
      <c r="K45" s="1002" t="s">
        <v>876</v>
      </c>
      <c r="L45" s="1002" t="s">
        <v>876</v>
      </c>
    </row>
    <row r="46" spans="1:14">
      <c r="A46" s="898" t="s">
        <v>702</v>
      </c>
      <c r="B46" s="923" t="s">
        <v>888</v>
      </c>
      <c r="C46" s="924"/>
      <c r="D46" s="924"/>
      <c r="E46" s="925"/>
      <c r="F46" s="925"/>
      <c r="G46" s="912"/>
      <c r="H46" s="912"/>
      <c r="I46" s="925"/>
      <c r="J46" s="925"/>
      <c r="K46" s="925"/>
      <c r="L46" s="925"/>
    </row>
    <row r="47" spans="1:14">
      <c r="A47" s="847"/>
      <c r="B47" s="926" t="s">
        <v>935</v>
      </c>
      <c r="C47" s="906">
        <v>2.0114999999999997E-2</v>
      </c>
      <c r="D47" s="906">
        <v>6765.6868699999995</v>
      </c>
      <c r="E47" s="906">
        <v>3.0000000000000001E-5</v>
      </c>
      <c r="F47" s="906">
        <v>12.07</v>
      </c>
      <c r="G47" s="886">
        <v>7.2599999999999997E-4</v>
      </c>
      <c r="H47" s="886">
        <v>304.35672</v>
      </c>
      <c r="I47" s="906">
        <v>0</v>
      </c>
      <c r="J47" s="906">
        <v>0</v>
      </c>
      <c r="K47" s="906">
        <v>0</v>
      </c>
      <c r="L47" s="916">
        <v>0</v>
      </c>
      <c r="N47" s="1087"/>
    </row>
    <row r="48" spans="1:14">
      <c r="A48" s="847"/>
      <c r="B48" s="926" t="s">
        <v>936</v>
      </c>
      <c r="C48" s="906">
        <v>0.47571000000000002</v>
      </c>
      <c r="D48" s="906">
        <v>1887.0314720000001</v>
      </c>
      <c r="E48" s="906">
        <v>5.9999999999999995E-4</v>
      </c>
      <c r="F48" s="906">
        <v>2.91</v>
      </c>
      <c r="G48" s="886">
        <v>0</v>
      </c>
      <c r="H48" s="886">
        <v>0</v>
      </c>
      <c r="I48" s="906">
        <v>0</v>
      </c>
      <c r="J48" s="906">
        <v>0</v>
      </c>
      <c r="K48" s="902">
        <v>0</v>
      </c>
      <c r="L48" s="927">
        <v>0</v>
      </c>
      <c r="N48" s="1087"/>
    </row>
    <row r="49" spans="1:14">
      <c r="A49" s="847"/>
      <c r="B49" s="926" t="s">
        <v>1026</v>
      </c>
      <c r="C49" s="906">
        <v>1.0000000000000001E-5</v>
      </c>
      <c r="D49" s="906">
        <v>3.7500000000000006E-2</v>
      </c>
      <c r="E49" s="906">
        <v>0</v>
      </c>
      <c r="F49" s="906">
        <v>0</v>
      </c>
      <c r="G49" s="906">
        <v>0</v>
      </c>
      <c r="H49" s="886">
        <v>0</v>
      </c>
      <c r="I49" s="906">
        <v>0</v>
      </c>
      <c r="J49" s="906">
        <v>0</v>
      </c>
      <c r="K49" s="906">
        <v>0</v>
      </c>
      <c r="L49" s="906">
        <v>0</v>
      </c>
      <c r="N49" s="1087"/>
    </row>
    <row r="50" spans="1:14">
      <c r="A50" s="847"/>
      <c r="B50" s="926" t="s">
        <v>1027</v>
      </c>
      <c r="C50" s="906">
        <v>1.0000000000000001E-5</v>
      </c>
      <c r="D50" s="906">
        <v>3.7490000000000002E-2</v>
      </c>
      <c r="E50" s="906">
        <v>0</v>
      </c>
      <c r="F50" s="906">
        <v>0</v>
      </c>
      <c r="G50" s="906">
        <v>0</v>
      </c>
      <c r="H50" s="886">
        <v>0</v>
      </c>
      <c r="I50" s="906">
        <v>0</v>
      </c>
      <c r="J50" s="906">
        <v>0</v>
      </c>
      <c r="K50" s="906">
        <v>0</v>
      </c>
      <c r="L50" s="906">
        <v>0</v>
      </c>
      <c r="N50" s="1087"/>
    </row>
    <row r="51" spans="1:14">
      <c r="A51" s="847"/>
      <c r="B51" s="926" t="s">
        <v>1028</v>
      </c>
      <c r="C51" s="906">
        <v>5.6940000000000007E-4</v>
      </c>
      <c r="D51" s="906">
        <v>183.77492000000001</v>
      </c>
      <c r="E51" s="906">
        <v>1.2290000000000001E-4</v>
      </c>
      <c r="F51" s="906">
        <v>60.663286999999997</v>
      </c>
      <c r="G51" s="906">
        <v>0</v>
      </c>
      <c r="H51" s="906">
        <v>0</v>
      </c>
      <c r="I51" s="906">
        <v>2.02E-5</v>
      </c>
      <c r="J51" s="916">
        <v>10.021699</v>
      </c>
      <c r="K51" s="902">
        <v>2.1000000000000002E-5</v>
      </c>
      <c r="L51" s="902">
        <v>9.8655469999999994</v>
      </c>
      <c r="N51" s="1087"/>
    </row>
    <row r="52" spans="1:14" ht="13.5" thickBot="1">
      <c r="A52" s="936"/>
      <c r="B52" s="937" t="s">
        <v>1029</v>
      </c>
      <c r="C52" s="921">
        <f>SUM(C47:C51)</f>
        <v>0.49641440000000003</v>
      </c>
      <c r="D52" s="921">
        <f>SUM(D47:D51)</f>
        <v>8836.5682520000009</v>
      </c>
      <c r="E52" s="921">
        <f t="shared" ref="E52:L52" si="8">SUM(E47:E51)</f>
        <v>7.5289999999999992E-4</v>
      </c>
      <c r="F52" s="921">
        <f t="shared" si="8"/>
        <v>75.643287000000001</v>
      </c>
      <c r="G52" s="1088">
        <f>SUM(G47:G51)</f>
        <v>7.2599999999999997E-4</v>
      </c>
      <c r="H52" s="1088">
        <f t="shared" si="8"/>
        <v>304.35672</v>
      </c>
      <c r="I52" s="921">
        <f t="shared" si="8"/>
        <v>2.02E-5</v>
      </c>
      <c r="J52" s="922">
        <f t="shared" si="8"/>
        <v>10.021699</v>
      </c>
      <c r="K52" s="921">
        <f t="shared" si="8"/>
        <v>2.1000000000000002E-5</v>
      </c>
      <c r="L52" s="922">
        <f t="shared" si="8"/>
        <v>9.8655469999999994</v>
      </c>
      <c r="M52" s="1046"/>
      <c r="N52" s="1046"/>
    </row>
    <row r="53" spans="1:14" ht="17.45" customHeight="1">
      <c r="A53" s="1069" t="s">
        <v>758</v>
      </c>
      <c r="B53" s="1089" t="s">
        <v>938</v>
      </c>
      <c r="C53" s="1090"/>
      <c r="D53" s="1090"/>
      <c r="E53" s="1091"/>
      <c r="F53" s="1091"/>
      <c r="G53" s="886"/>
      <c r="H53" s="886"/>
      <c r="I53" s="1091"/>
      <c r="J53" s="1091"/>
      <c r="K53" s="1070"/>
      <c r="L53" s="944" t="s">
        <v>876</v>
      </c>
      <c r="N53" s="1087"/>
    </row>
    <row r="54" spans="1:14">
      <c r="A54" s="847"/>
      <c r="B54" s="926" t="s">
        <v>940</v>
      </c>
      <c r="C54" s="906">
        <v>0.874</v>
      </c>
      <c r="D54" s="906">
        <v>39.268440000000005</v>
      </c>
      <c r="E54" s="906">
        <v>0</v>
      </c>
      <c r="F54" s="906">
        <v>0</v>
      </c>
      <c r="G54" s="886">
        <v>0</v>
      </c>
      <c r="H54" s="886">
        <v>0</v>
      </c>
      <c r="I54" s="906">
        <v>0</v>
      </c>
      <c r="J54" s="906">
        <v>0</v>
      </c>
      <c r="K54" s="906">
        <v>0</v>
      </c>
      <c r="L54" s="906">
        <v>0</v>
      </c>
      <c r="N54" s="1087"/>
    </row>
    <row r="55" spans="1:14" ht="13.5" thickBot="1">
      <c r="A55" s="936"/>
      <c r="B55" s="937" t="s">
        <v>1030</v>
      </c>
      <c r="C55" s="921">
        <f>SUM(C54)</f>
        <v>0.874</v>
      </c>
      <c r="D55" s="921">
        <f>SUM(D54)</f>
        <v>39.268440000000005</v>
      </c>
      <c r="E55" s="921">
        <f t="shared" ref="E55:L55" si="9">SUM(E54)</f>
        <v>0</v>
      </c>
      <c r="F55" s="921">
        <f t="shared" si="9"/>
        <v>0</v>
      </c>
      <c r="G55" s="921">
        <f t="shared" si="9"/>
        <v>0</v>
      </c>
      <c r="H55" s="921">
        <f t="shared" si="9"/>
        <v>0</v>
      </c>
      <c r="I55" s="921">
        <f t="shared" si="9"/>
        <v>0</v>
      </c>
      <c r="J55" s="921">
        <f t="shared" si="9"/>
        <v>0</v>
      </c>
      <c r="K55" s="921">
        <f t="shared" si="9"/>
        <v>0</v>
      </c>
      <c r="L55" s="921">
        <f t="shared" si="9"/>
        <v>0</v>
      </c>
      <c r="M55" s="1046"/>
      <c r="N55" s="1046"/>
    </row>
    <row r="56" spans="1:14" ht="16.899999999999999" customHeight="1">
      <c r="A56" s="1069" t="s">
        <v>771</v>
      </c>
      <c r="B56" s="1089" t="s">
        <v>1009</v>
      </c>
      <c r="C56" s="1090"/>
      <c r="D56" s="1090"/>
      <c r="E56" s="1091"/>
      <c r="F56" s="1091"/>
      <c r="G56" s="886"/>
      <c r="H56" s="886"/>
      <c r="I56" s="1091"/>
      <c r="J56" s="1091"/>
      <c r="K56" s="1070"/>
      <c r="L56" s="910" t="s">
        <v>876</v>
      </c>
    </row>
    <row r="57" spans="1:14">
      <c r="A57" s="847"/>
      <c r="B57" s="926" t="s">
        <v>1031</v>
      </c>
      <c r="C57" s="906">
        <v>0.38</v>
      </c>
      <c r="D57" s="906">
        <v>3.3538600000000001</v>
      </c>
      <c r="E57" s="906">
        <v>0</v>
      </c>
      <c r="F57" s="906">
        <v>0</v>
      </c>
      <c r="G57" s="906">
        <v>0</v>
      </c>
      <c r="H57" s="901">
        <v>0</v>
      </c>
      <c r="I57" s="906">
        <v>0</v>
      </c>
      <c r="J57" s="906">
        <v>0</v>
      </c>
      <c r="K57" s="902">
        <v>0</v>
      </c>
      <c r="L57" s="902">
        <v>0</v>
      </c>
    </row>
    <row r="58" spans="1:14">
      <c r="A58" s="847"/>
      <c r="B58" s="926" t="s">
        <v>1032</v>
      </c>
      <c r="C58" s="906">
        <v>5273.0100000000011</v>
      </c>
      <c r="D58" s="906">
        <v>22019.759270000002</v>
      </c>
      <c r="E58" s="902">
        <v>467.96999999999997</v>
      </c>
      <c r="F58" s="910">
        <v>1652.09934</v>
      </c>
      <c r="G58" s="886">
        <v>165.27</v>
      </c>
      <c r="H58" s="886">
        <v>624.46252000000004</v>
      </c>
      <c r="I58" s="906">
        <v>0</v>
      </c>
      <c r="J58" s="916">
        <v>0</v>
      </c>
      <c r="K58" s="902">
        <v>0</v>
      </c>
      <c r="L58" s="902">
        <v>0</v>
      </c>
    </row>
    <row r="59" spans="1:14">
      <c r="A59" s="847"/>
      <c r="B59" s="928" t="s">
        <v>947</v>
      </c>
      <c r="C59" s="901">
        <v>431.89350000000002</v>
      </c>
      <c r="D59" s="901">
        <v>5500.8315500000008</v>
      </c>
      <c r="E59" s="906">
        <v>0</v>
      </c>
      <c r="F59" s="906">
        <v>0</v>
      </c>
      <c r="G59" s="886">
        <v>0</v>
      </c>
      <c r="H59" s="886">
        <v>0</v>
      </c>
      <c r="I59" s="906">
        <v>0</v>
      </c>
      <c r="J59" s="906">
        <v>0</v>
      </c>
      <c r="K59" s="902">
        <v>0</v>
      </c>
      <c r="L59" s="902">
        <v>0</v>
      </c>
    </row>
    <row r="60" spans="1:14">
      <c r="A60" s="847"/>
      <c r="B60" s="928" t="s">
        <v>993</v>
      </c>
      <c r="C60" s="901">
        <v>295.39999999999998</v>
      </c>
      <c r="D60" s="901">
        <v>1858.5879199999999</v>
      </c>
      <c r="E60" s="902">
        <v>214.04000000000002</v>
      </c>
      <c r="F60" s="927">
        <v>1228.8257800000001</v>
      </c>
      <c r="G60" s="906">
        <v>15.82</v>
      </c>
      <c r="H60" s="901">
        <v>94.271270000000001</v>
      </c>
      <c r="I60" s="906">
        <v>6.33</v>
      </c>
      <c r="J60" s="906">
        <v>39.788609999999998</v>
      </c>
      <c r="K60" s="906">
        <v>7.81</v>
      </c>
      <c r="L60" s="916">
        <v>58.204979999999999</v>
      </c>
      <c r="M60" s="1092"/>
    </row>
    <row r="61" spans="1:14">
      <c r="A61" s="847"/>
      <c r="B61" s="929" t="s">
        <v>1033</v>
      </c>
      <c r="C61" s="884">
        <v>423.30340000000001</v>
      </c>
      <c r="D61" s="884">
        <v>4731.1464800000003</v>
      </c>
      <c r="E61" s="906">
        <v>0</v>
      </c>
      <c r="F61" s="906">
        <v>0</v>
      </c>
      <c r="G61" s="906">
        <v>90.654200000000003</v>
      </c>
      <c r="H61" s="901">
        <v>1010.79034</v>
      </c>
      <c r="I61" s="906">
        <v>0</v>
      </c>
      <c r="J61" s="906">
        <v>0</v>
      </c>
      <c r="K61" s="906">
        <v>0</v>
      </c>
      <c r="L61" s="906">
        <v>0</v>
      </c>
      <c r="M61" s="1092"/>
    </row>
    <row r="62" spans="1:14">
      <c r="A62" s="847"/>
      <c r="B62" s="929" t="s">
        <v>997</v>
      </c>
      <c r="C62" s="884">
        <v>150.77000000000001</v>
      </c>
      <c r="D62" s="884">
        <v>622.89708999999993</v>
      </c>
      <c r="E62" s="906">
        <v>0</v>
      </c>
      <c r="F62" s="906">
        <v>0</v>
      </c>
      <c r="G62" s="906">
        <v>0</v>
      </c>
      <c r="H62" s="901">
        <v>0</v>
      </c>
      <c r="I62" s="906">
        <v>0</v>
      </c>
      <c r="J62" s="906">
        <v>0</v>
      </c>
      <c r="K62" s="906">
        <v>0</v>
      </c>
      <c r="L62" s="906">
        <v>0</v>
      </c>
      <c r="M62" s="1092"/>
    </row>
    <row r="63" spans="1:14">
      <c r="A63" s="847"/>
      <c r="B63" s="929" t="s">
        <v>979</v>
      </c>
      <c r="C63" s="884">
        <v>84.3</v>
      </c>
      <c r="D63" s="884">
        <v>359.40201000000002</v>
      </c>
      <c r="E63" s="906">
        <v>0</v>
      </c>
      <c r="F63" s="906">
        <v>0</v>
      </c>
      <c r="G63" s="906">
        <v>0</v>
      </c>
      <c r="H63" s="901">
        <v>0</v>
      </c>
      <c r="I63" s="906">
        <v>0</v>
      </c>
      <c r="J63" s="906">
        <v>0</v>
      </c>
      <c r="K63" s="906">
        <v>0</v>
      </c>
      <c r="L63" s="906">
        <v>0</v>
      </c>
      <c r="M63" s="1092"/>
    </row>
    <row r="64" spans="1:14">
      <c r="A64" s="847"/>
      <c r="B64" s="929" t="s">
        <v>980</v>
      </c>
      <c r="C64" s="884">
        <v>83.13000000000001</v>
      </c>
      <c r="D64" s="884">
        <v>369.69527999999997</v>
      </c>
      <c r="E64" s="906">
        <v>0</v>
      </c>
      <c r="F64" s="906">
        <v>0</v>
      </c>
      <c r="G64" s="906">
        <v>0</v>
      </c>
      <c r="H64" s="901">
        <v>0</v>
      </c>
      <c r="I64" s="906">
        <v>0</v>
      </c>
      <c r="J64" s="906">
        <v>0</v>
      </c>
      <c r="K64" s="906">
        <v>0</v>
      </c>
      <c r="L64" s="906">
        <v>0</v>
      </c>
      <c r="M64" s="1092"/>
    </row>
    <row r="65" spans="1:14">
      <c r="A65" s="847"/>
      <c r="B65" s="929" t="s">
        <v>1034</v>
      </c>
      <c r="C65" s="884">
        <v>83.325500000000005</v>
      </c>
      <c r="D65" s="884">
        <v>850.271075</v>
      </c>
      <c r="E65" s="902">
        <v>150.47975000000002</v>
      </c>
      <c r="F65" s="902">
        <v>1423.7491749999999</v>
      </c>
      <c r="G65" s="906">
        <v>0</v>
      </c>
      <c r="H65" s="906">
        <v>0</v>
      </c>
      <c r="I65" s="906">
        <v>0</v>
      </c>
      <c r="J65" s="906">
        <v>0</v>
      </c>
      <c r="K65" s="902">
        <v>0</v>
      </c>
      <c r="L65" s="902">
        <v>0</v>
      </c>
    </row>
    <row r="66" spans="1:14">
      <c r="A66" s="847"/>
      <c r="B66" s="929" t="s">
        <v>1035</v>
      </c>
      <c r="C66" s="884" t="s">
        <v>215</v>
      </c>
      <c r="D66" s="884" t="s">
        <v>215</v>
      </c>
      <c r="E66" s="910">
        <v>14.52</v>
      </c>
      <c r="F66" s="910">
        <v>450.8039</v>
      </c>
      <c r="G66" s="906">
        <v>0</v>
      </c>
      <c r="H66" s="906">
        <v>0</v>
      </c>
      <c r="I66" s="906">
        <v>1.4850000000000001</v>
      </c>
      <c r="J66" s="906">
        <v>46.869630000000001</v>
      </c>
      <c r="K66" s="886">
        <v>0.83599999999999997</v>
      </c>
      <c r="L66" s="892">
        <v>24.925709999999999</v>
      </c>
    </row>
    <row r="67" spans="1:14" ht="13.5" thickBot="1">
      <c r="A67" s="936"/>
      <c r="B67" s="937" t="s">
        <v>1036</v>
      </c>
      <c r="C67" s="896">
        <f>SUM(C57:C66)</f>
        <v>6825.5124000000014</v>
      </c>
      <c r="D67" s="896">
        <f>SUM(D57:D66)</f>
        <v>36315.944534999995</v>
      </c>
      <c r="E67" s="1072">
        <f>SUM(E57:E66)</f>
        <v>847.00974999999994</v>
      </c>
      <c r="F67" s="1072">
        <f>SUM(F57:F66)</f>
        <v>4755.4781949999997</v>
      </c>
      <c r="G67" s="1072">
        <f t="shared" ref="G67:L67" si="10">SUM(G57:G66)</f>
        <v>271.74419999999998</v>
      </c>
      <c r="H67" s="1072">
        <f>SUM(H57:H66)</f>
        <v>1729.52413</v>
      </c>
      <c r="I67" s="1072">
        <f t="shared" si="10"/>
        <v>7.8150000000000004</v>
      </c>
      <c r="J67" s="1072">
        <f t="shared" si="10"/>
        <v>86.658240000000006</v>
      </c>
      <c r="K67" s="1072">
        <f t="shared" si="10"/>
        <v>8.645999999999999</v>
      </c>
      <c r="L67" s="1072">
        <f t="shared" si="10"/>
        <v>83.130690000000001</v>
      </c>
      <c r="M67" s="1046"/>
      <c r="N67" s="1046"/>
    </row>
    <row r="68" spans="1:14">
      <c r="A68" s="1093" t="s">
        <v>952</v>
      </c>
      <c r="B68" s="930" t="s">
        <v>889</v>
      </c>
      <c r="C68" s="875"/>
      <c r="D68" s="875"/>
      <c r="E68" s="910"/>
      <c r="F68" s="910"/>
      <c r="G68" s="884"/>
      <c r="H68" s="884"/>
      <c r="I68" s="886"/>
      <c r="J68" s="886" t="s">
        <v>876</v>
      </c>
      <c r="K68" s="886"/>
      <c r="L68" s="892"/>
    </row>
    <row r="69" spans="1:14">
      <c r="A69" s="847"/>
      <c r="B69" s="931" t="s">
        <v>1209</v>
      </c>
      <c r="C69" s="886">
        <v>422.85129604371355</v>
      </c>
      <c r="D69" s="886">
        <v>1246.9477400000001</v>
      </c>
      <c r="E69" s="886">
        <v>0.35470668499999997</v>
      </c>
      <c r="F69" s="886">
        <v>0.57201000000000002</v>
      </c>
      <c r="G69" s="906">
        <v>236.83492496599999</v>
      </c>
      <c r="H69" s="906">
        <v>691.36906999999997</v>
      </c>
      <c r="I69" s="886">
        <v>0</v>
      </c>
      <c r="J69" s="886">
        <v>0</v>
      </c>
      <c r="K69" s="902">
        <v>0</v>
      </c>
      <c r="L69" s="927">
        <v>0</v>
      </c>
    </row>
    <row r="70" spans="1:14" ht="13.5" thickBot="1">
      <c r="A70" s="936"/>
      <c r="B70" s="937" t="s">
        <v>1037</v>
      </c>
      <c r="C70" s="921">
        <f t="shared" ref="C70:L70" si="11">SUM(C69)</f>
        <v>422.85129604371355</v>
      </c>
      <c r="D70" s="921">
        <f t="shared" si="11"/>
        <v>1246.9477400000001</v>
      </c>
      <c r="E70" s="1068">
        <f t="shared" si="11"/>
        <v>0.35470668499999997</v>
      </c>
      <c r="F70" s="1068">
        <f t="shared" si="11"/>
        <v>0.57201000000000002</v>
      </c>
      <c r="G70" s="1068">
        <f t="shared" si="11"/>
        <v>236.83492496599999</v>
      </c>
      <c r="H70" s="1068">
        <f t="shared" si="11"/>
        <v>691.36906999999997</v>
      </c>
      <c r="I70" s="1068">
        <f t="shared" si="11"/>
        <v>0</v>
      </c>
      <c r="J70" s="1068">
        <f t="shared" si="11"/>
        <v>0</v>
      </c>
      <c r="K70" s="1068">
        <f t="shared" si="11"/>
        <v>0</v>
      </c>
      <c r="L70" s="1068">
        <f t="shared" si="11"/>
        <v>0</v>
      </c>
    </row>
    <row r="71" spans="1:14" ht="18.600000000000001" customHeight="1" thickBot="1">
      <c r="A71" s="1094"/>
      <c r="B71" s="1095" t="s">
        <v>1038</v>
      </c>
      <c r="C71" s="1096">
        <f>SUM(C52,C55,C67,C70)</f>
        <v>7249.7341104437155</v>
      </c>
      <c r="D71" s="1096">
        <f>SUM(D52,D55,D67,D70)</f>
        <v>46438.728967000003</v>
      </c>
      <c r="E71" s="1096">
        <f>SUM(E47:E51,E54,E57:E66,E69)</f>
        <v>847.36520958499989</v>
      </c>
      <c r="F71" s="1096">
        <f>SUM(F47:F51,F54,F57:F66,F69)</f>
        <v>4831.6934919999994</v>
      </c>
      <c r="G71" s="1096">
        <f t="shared" ref="G71:L71" si="12">SUM(G52,G55,G67,G70)</f>
        <v>508.57985096599998</v>
      </c>
      <c r="H71" s="1096">
        <f t="shared" si="12"/>
        <v>2725.2499200000002</v>
      </c>
      <c r="I71" s="1096">
        <f t="shared" si="12"/>
        <v>7.8150202000000002</v>
      </c>
      <c r="J71" s="1096">
        <f t="shared" si="12"/>
        <v>96.679939000000005</v>
      </c>
      <c r="K71" s="1096">
        <f t="shared" si="12"/>
        <v>8.6460209999999993</v>
      </c>
      <c r="L71" s="1096">
        <f t="shared" si="12"/>
        <v>92.996237000000008</v>
      </c>
      <c r="M71" s="1046"/>
      <c r="N71" s="1046"/>
    </row>
    <row r="72" spans="1:14" ht="15.6" customHeight="1" thickBot="1">
      <c r="A72" s="1097"/>
      <c r="B72" s="1098" t="s">
        <v>1039</v>
      </c>
      <c r="C72" s="1099"/>
      <c r="D72" s="1099"/>
      <c r="E72" s="1098"/>
      <c r="F72" s="1098"/>
      <c r="G72" s="1098"/>
      <c r="H72" s="1098"/>
      <c r="I72" s="1098"/>
      <c r="J72" s="1098"/>
      <c r="K72" s="1098" t="s">
        <v>876</v>
      </c>
      <c r="L72" s="1100"/>
    </row>
    <row r="73" spans="1:14">
      <c r="A73" s="932" t="s">
        <v>956</v>
      </c>
      <c r="B73" s="930" t="s">
        <v>888</v>
      </c>
      <c r="C73" s="933"/>
      <c r="D73" s="933"/>
      <c r="E73" s="934"/>
      <c r="F73" s="934"/>
      <c r="G73" s="934"/>
      <c r="H73" s="934"/>
      <c r="I73" s="934"/>
      <c r="J73" s="934"/>
      <c r="K73" s="935"/>
      <c r="L73" s="935"/>
    </row>
    <row r="74" spans="1:14">
      <c r="A74" s="847"/>
      <c r="B74" s="926" t="s">
        <v>935</v>
      </c>
      <c r="C74" s="906" t="s">
        <v>215</v>
      </c>
      <c r="D74" s="906" t="s">
        <v>215</v>
      </c>
      <c r="E74" s="906">
        <v>0.10197199999999998</v>
      </c>
      <c r="F74" s="916">
        <v>51931.010980000006</v>
      </c>
      <c r="G74" s="906">
        <v>0</v>
      </c>
      <c r="H74" s="906">
        <v>0</v>
      </c>
      <c r="I74" s="906">
        <v>3.8999999999999999E-5</v>
      </c>
      <c r="J74" s="916">
        <v>19.366755000000001</v>
      </c>
      <c r="K74" s="902">
        <v>7.7140000000000004E-3</v>
      </c>
      <c r="L74" s="902">
        <v>3739.0143800000001</v>
      </c>
    </row>
    <row r="75" spans="1:14">
      <c r="A75" s="847"/>
      <c r="B75" s="929" t="s">
        <v>936</v>
      </c>
      <c r="C75" s="906" t="s">
        <v>215</v>
      </c>
      <c r="D75" s="906" t="s">
        <v>215</v>
      </c>
      <c r="E75" s="886">
        <v>0.50307000000000002</v>
      </c>
      <c r="F75" s="886">
        <v>3275.0640410000001</v>
      </c>
      <c r="G75" s="906">
        <v>0</v>
      </c>
      <c r="H75" s="906">
        <v>0</v>
      </c>
      <c r="I75" s="906">
        <v>6.2640000000000001E-2</v>
      </c>
      <c r="J75" s="906">
        <v>426.42346350000003</v>
      </c>
      <c r="K75" s="902">
        <v>5.8409999999999997E-2</v>
      </c>
      <c r="L75" s="902">
        <v>413.24182050000002</v>
      </c>
    </row>
    <row r="76" spans="1:14">
      <c r="A76" s="847"/>
      <c r="B76" s="929" t="s">
        <v>1026</v>
      </c>
      <c r="C76" s="906" t="s">
        <v>215</v>
      </c>
      <c r="D76" s="906" t="s">
        <v>215</v>
      </c>
      <c r="E76" s="886">
        <v>0.12566200000000002</v>
      </c>
      <c r="F76" s="886">
        <v>776.4484212000001</v>
      </c>
      <c r="G76" s="906">
        <v>0</v>
      </c>
      <c r="H76" s="906">
        <v>0</v>
      </c>
      <c r="I76" s="906">
        <v>1.3598000000000001E-2</v>
      </c>
      <c r="J76" s="906">
        <v>92.316640050000004</v>
      </c>
      <c r="K76" s="902">
        <v>1.4320000000000001E-2</v>
      </c>
      <c r="L76" s="902">
        <v>102.20742315</v>
      </c>
    </row>
    <row r="77" spans="1:14">
      <c r="A77" s="847"/>
      <c r="B77" s="931" t="s">
        <v>1028</v>
      </c>
      <c r="C77" s="906" t="s">
        <v>215</v>
      </c>
      <c r="D77" s="906" t="s">
        <v>215</v>
      </c>
      <c r="E77" s="902">
        <v>0.95155370000000006</v>
      </c>
      <c r="F77" s="902">
        <v>477500.34186299995</v>
      </c>
      <c r="G77" s="906">
        <v>0</v>
      </c>
      <c r="H77" s="906">
        <v>0</v>
      </c>
      <c r="I77" s="906">
        <v>0.1212551</v>
      </c>
      <c r="J77" s="916">
        <v>61902.819309999999</v>
      </c>
      <c r="K77" s="886">
        <v>0.1215605</v>
      </c>
      <c r="L77" s="886">
        <v>60832.79990125</v>
      </c>
    </row>
    <row r="78" spans="1:14" ht="13.5" thickBot="1">
      <c r="A78" s="936"/>
      <c r="B78" s="937" t="s">
        <v>1040</v>
      </c>
      <c r="C78" s="921" t="s">
        <v>215</v>
      </c>
      <c r="D78" s="921" t="s">
        <v>215</v>
      </c>
      <c r="E78" s="921">
        <f t="shared" ref="E78:L78" si="13">SUM(E74:E77)</f>
        <v>1.6822577000000001</v>
      </c>
      <c r="F78" s="921">
        <f t="shared" si="13"/>
        <v>533482.86530519999</v>
      </c>
      <c r="G78" s="921">
        <f t="shared" si="13"/>
        <v>0</v>
      </c>
      <c r="H78" s="921">
        <f t="shared" si="13"/>
        <v>0</v>
      </c>
      <c r="I78" s="921">
        <f t="shared" si="13"/>
        <v>0.19753209999999999</v>
      </c>
      <c r="J78" s="922">
        <f t="shared" si="13"/>
        <v>62440.926168550002</v>
      </c>
      <c r="K78" s="921">
        <f t="shared" si="13"/>
        <v>0.2020045</v>
      </c>
      <c r="L78" s="922">
        <f t="shared" si="13"/>
        <v>65087.263524900001</v>
      </c>
      <c r="M78" s="1046"/>
      <c r="N78" s="1046"/>
    </row>
    <row r="79" spans="1:14">
      <c r="A79" s="716" t="str">
        <f>'[1]64'!A17</f>
        <v>$ indicates as on February 28, 2021</v>
      </c>
      <c r="B79" s="717"/>
      <c r="C79" s="717"/>
      <c r="D79" s="717"/>
      <c r="E79" s="717"/>
      <c r="F79" s="717"/>
      <c r="G79" s="717"/>
      <c r="H79" s="938"/>
      <c r="I79" s="938"/>
      <c r="J79" s="938"/>
      <c r="K79" s="938"/>
      <c r="L79" s="938"/>
    </row>
    <row r="80" spans="1:14" ht="15.75" customHeight="1">
      <c r="A80" s="1001" t="s">
        <v>1117</v>
      </c>
      <c r="B80" s="1552" t="s">
        <v>1041</v>
      </c>
      <c r="C80" s="1552"/>
      <c r="D80" s="1552"/>
      <c r="E80" s="1552"/>
      <c r="F80" s="1552"/>
      <c r="G80" s="1552"/>
      <c r="H80" s="1552"/>
      <c r="I80" s="1552"/>
      <c r="J80" s="1552"/>
      <c r="K80" s="1552"/>
      <c r="L80" s="1552"/>
    </row>
    <row r="81" spans="1:13" ht="14.25" customHeight="1">
      <c r="A81" s="939"/>
      <c r="B81" s="1486" t="s">
        <v>1042</v>
      </c>
      <c r="C81" s="1486"/>
      <c r="D81" s="1486"/>
      <c r="E81" s="1486"/>
      <c r="F81" s="1486"/>
      <c r="G81" s="1486"/>
      <c r="H81" s="1486"/>
      <c r="I81" s="1486"/>
      <c r="J81" s="1486"/>
      <c r="K81" s="1486"/>
      <c r="L81" s="1486"/>
      <c r="M81" s="860" t="s">
        <v>876</v>
      </c>
    </row>
    <row r="82" spans="1:13" ht="14.25" customHeight="1">
      <c r="A82" s="939"/>
      <c r="B82" s="990" t="s">
        <v>1118</v>
      </c>
      <c r="C82" s="990"/>
      <c r="D82" s="990"/>
      <c r="E82" s="990"/>
      <c r="F82" s="990"/>
      <c r="G82" s="990"/>
      <c r="H82" s="990"/>
      <c r="I82" s="990"/>
      <c r="J82" s="990"/>
      <c r="K82" s="990"/>
      <c r="L82" s="990"/>
    </row>
    <row r="83" spans="1:13" ht="14.25" customHeight="1">
      <c r="A83" s="939"/>
      <c r="B83" s="1103" t="s">
        <v>1210</v>
      </c>
      <c r="C83" s="1104"/>
      <c r="D83" s="1104"/>
      <c r="E83" s="1104"/>
      <c r="F83" s="1104"/>
      <c r="G83" s="1105"/>
      <c r="H83" s="1105"/>
      <c r="I83" s="1105"/>
      <c r="J83" s="1106"/>
      <c r="K83" s="1106"/>
      <c r="L83" s="990"/>
    </row>
    <row r="84" spans="1:13">
      <c r="A84" s="859" t="s">
        <v>1043</v>
      </c>
      <c r="G84" s="940"/>
      <c r="H84" s="938"/>
      <c r="I84" s="938"/>
      <c r="J84" s="940"/>
      <c r="K84" s="940" t="s">
        <v>876</v>
      </c>
      <c r="L84" s="938" t="s">
        <v>876</v>
      </c>
    </row>
    <row r="85" spans="1:13">
      <c r="A85" s="859"/>
      <c r="I85" s="860" t="s">
        <v>876</v>
      </c>
      <c r="J85" s="860" t="s">
        <v>876</v>
      </c>
    </row>
    <row r="87" spans="1:13">
      <c r="E87" s="941"/>
      <c r="I87" s="941"/>
      <c r="K87" s="941"/>
    </row>
    <row r="88" spans="1:13">
      <c r="E88" s="941"/>
      <c r="I88" s="941"/>
      <c r="K88" s="941"/>
    </row>
    <row r="90" spans="1:13">
      <c r="J90" s="942"/>
      <c r="K90" s="943"/>
      <c r="L90" s="942"/>
    </row>
    <row r="91" spans="1:13">
      <c r="K91" s="943"/>
    </row>
  </sheetData>
  <mergeCells count="11">
    <mergeCell ref="B80:L80"/>
    <mergeCell ref="B81:L81"/>
    <mergeCell ref="A2:A3"/>
    <mergeCell ref="B2:B3"/>
    <mergeCell ref="C2:D2"/>
    <mergeCell ref="E2:F2"/>
    <mergeCell ref="G2:H2"/>
    <mergeCell ref="K2:L2"/>
    <mergeCell ref="I2:J2"/>
    <mergeCell ref="B21:L21"/>
    <mergeCell ref="B44:L44"/>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M44"/>
  <sheetViews>
    <sheetView zoomScale="90" zoomScaleNormal="90" workbookViewId="0">
      <selection activeCell="C10" sqref="C10"/>
    </sheetView>
  </sheetViews>
  <sheetFormatPr defaultColWidth="8.85546875" defaultRowHeight="15"/>
  <cols>
    <col min="1" max="1" width="55.42578125" style="963" customWidth="1"/>
    <col min="2" max="2" width="15" style="636" customWidth="1"/>
    <col min="3" max="3" width="12.140625" style="636" customWidth="1"/>
    <col min="4" max="4" width="13" style="636" customWidth="1"/>
    <col min="5" max="5" width="10.42578125" style="636" bestFit="1" customWidth="1"/>
    <col min="6" max="6" width="13.42578125" style="636" bestFit="1" customWidth="1"/>
    <col min="7" max="7" width="8.85546875" style="636"/>
    <col min="8" max="8" width="10.140625" style="636" bestFit="1" customWidth="1"/>
    <col min="9" max="9" width="8.85546875" style="636"/>
    <col min="10" max="11" width="11.7109375" style="636" bestFit="1" customWidth="1"/>
    <col min="12" max="12" width="8.85546875" style="636"/>
    <col min="13" max="13" width="11.7109375" style="636" bestFit="1" customWidth="1"/>
    <col min="14" max="16384" width="8.85546875" style="636"/>
  </cols>
  <sheetData>
    <row r="1" spans="1:13" ht="15.75">
      <c r="A1" s="1114" t="s">
        <v>1044</v>
      </c>
      <c r="B1" s="1115"/>
      <c r="C1" s="1115"/>
      <c r="D1" s="1116"/>
      <c r="E1" s="1116"/>
      <c r="F1" s="1117"/>
    </row>
    <row r="2" spans="1:13">
      <c r="A2" s="1118" t="s">
        <v>1045</v>
      </c>
      <c r="B2" s="1119"/>
      <c r="C2" s="1119"/>
      <c r="D2" s="1120"/>
      <c r="E2" s="1120"/>
      <c r="F2" s="1121">
        <v>19586161</v>
      </c>
    </row>
    <row r="3" spans="1:13" ht="32.25" customHeight="1">
      <c r="A3" s="1122" t="s">
        <v>1119</v>
      </c>
      <c r="B3" s="1119"/>
      <c r="C3" s="1119"/>
      <c r="D3" s="1120"/>
      <c r="E3" s="1120"/>
      <c r="F3" s="1123">
        <v>30.9</v>
      </c>
    </row>
    <row r="4" spans="1:13" ht="30">
      <c r="A4" s="1122" t="s">
        <v>1120</v>
      </c>
      <c r="B4" s="1124"/>
      <c r="C4" s="1124"/>
      <c r="D4" s="1120"/>
      <c r="E4" s="1120"/>
      <c r="F4" s="1123">
        <v>31.2</v>
      </c>
      <c r="H4" s="945"/>
    </row>
    <row r="5" spans="1:13" ht="15.75">
      <c r="A5" s="1125" t="s">
        <v>1046</v>
      </c>
      <c r="B5" s="1126">
        <v>44105</v>
      </c>
      <c r="C5" s="1126">
        <v>44136</v>
      </c>
      <c r="D5" s="1126">
        <v>44166</v>
      </c>
      <c r="E5" s="1126">
        <v>44197</v>
      </c>
      <c r="F5" s="1126">
        <v>44228</v>
      </c>
    </row>
    <row r="6" spans="1:13" ht="15.75">
      <c r="A6" s="1127" t="s">
        <v>1047</v>
      </c>
      <c r="B6" s="1128">
        <v>3</v>
      </c>
      <c r="C6" s="1128">
        <v>3</v>
      </c>
      <c r="D6" s="1128">
        <v>3</v>
      </c>
      <c r="E6" s="1128">
        <v>3</v>
      </c>
      <c r="F6" s="1128">
        <v>3</v>
      </c>
    </row>
    <row r="7" spans="1:13" ht="15.75">
      <c r="A7" s="946" t="s">
        <v>1048</v>
      </c>
      <c r="B7" s="1129">
        <v>4</v>
      </c>
      <c r="C7" s="1129">
        <v>4</v>
      </c>
      <c r="D7" s="1129">
        <v>4</v>
      </c>
      <c r="E7" s="1129">
        <v>4</v>
      </c>
      <c r="F7" s="1129">
        <v>4</v>
      </c>
    </row>
    <row r="8" spans="1:13" ht="15.75">
      <c r="A8" s="1130" t="s">
        <v>1049</v>
      </c>
      <c r="B8" s="1131">
        <v>178048.85</v>
      </c>
      <c r="C8" s="1131">
        <v>179382</v>
      </c>
      <c r="D8" s="1131">
        <v>180591</v>
      </c>
      <c r="E8" s="1131">
        <v>184015</v>
      </c>
      <c r="F8" s="1131">
        <v>185639</v>
      </c>
      <c r="H8" s="947"/>
    </row>
    <row r="9" spans="1:13" ht="15.75">
      <c r="A9" s="946" t="s">
        <v>1050</v>
      </c>
      <c r="B9" s="1131">
        <v>142926.24</v>
      </c>
      <c r="C9" s="1131">
        <v>143707</v>
      </c>
      <c r="D9" s="1131">
        <v>144826</v>
      </c>
      <c r="E9" s="1131">
        <v>147977</v>
      </c>
      <c r="F9" s="1131">
        <v>149338</v>
      </c>
      <c r="H9" s="947"/>
    </row>
    <row r="10" spans="1:13" ht="15.75">
      <c r="A10" s="948" t="s">
        <v>1051</v>
      </c>
      <c r="B10" s="1131">
        <v>103388.53</v>
      </c>
      <c r="C10" s="1131">
        <v>104345</v>
      </c>
      <c r="D10" s="1131">
        <v>105495</v>
      </c>
      <c r="E10" s="1131">
        <v>107046</v>
      </c>
      <c r="F10" s="1131">
        <v>107748</v>
      </c>
      <c r="H10" s="947"/>
    </row>
    <row r="11" spans="1:13" ht="15.75">
      <c r="A11" s="1132" t="s">
        <v>1052</v>
      </c>
      <c r="B11" s="1133"/>
      <c r="C11" s="1133"/>
      <c r="D11" s="1133"/>
      <c r="E11" s="1133"/>
      <c r="F11" s="1133"/>
    </row>
    <row r="12" spans="1:13" ht="15.75">
      <c r="A12" s="1134" t="s">
        <v>1053</v>
      </c>
      <c r="B12" s="1135">
        <v>3.19</v>
      </c>
      <c r="C12" s="1135">
        <v>3.1</v>
      </c>
      <c r="D12" s="1129">
        <v>3.24</v>
      </c>
      <c r="E12" s="1129">
        <v>3.23</v>
      </c>
      <c r="F12" s="1129">
        <v>3.25</v>
      </c>
    </row>
    <row r="13" spans="1:13" ht="15.75">
      <c r="A13" s="1134" t="s">
        <v>1054</v>
      </c>
      <c r="B13" s="1129">
        <v>3.2</v>
      </c>
      <c r="C13" s="1129">
        <v>2.93</v>
      </c>
      <c r="D13" s="1129">
        <v>3.08</v>
      </c>
      <c r="E13" s="1129">
        <v>3.35</v>
      </c>
      <c r="F13" s="1129">
        <v>3.17</v>
      </c>
    </row>
    <row r="14" spans="1:13" ht="15.75">
      <c r="A14" s="1134" t="s">
        <v>1055</v>
      </c>
      <c r="B14" s="1136" t="s">
        <v>1056</v>
      </c>
      <c r="C14" s="1136" t="s">
        <v>1056</v>
      </c>
      <c r="D14" s="1136" t="s">
        <v>1121</v>
      </c>
      <c r="E14" s="1136" t="s">
        <v>1121</v>
      </c>
      <c r="F14" s="1136" t="s">
        <v>1121</v>
      </c>
    </row>
    <row r="15" spans="1:13" ht="15.75">
      <c r="A15" s="949" t="s">
        <v>1057</v>
      </c>
      <c r="B15" s="1129" t="s">
        <v>1058</v>
      </c>
      <c r="C15" s="1129" t="s">
        <v>1058</v>
      </c>
      <c r="D15" s="1129" t="s">
        <v>1058</v>
      </c>
      <c r="E15" s="1129" t="s">
        <v>1058</v>
      </c>
      <c r="F15" s="1129" t="s">
        <v>1058</v>
      </c>
      <c r="K15" s="950"/>
      <c r="M15" s="950"/>
    </row>
    <row r="16" spans="1:13" ht="16.5">
      <c r="A16" s="1132" t="s">
        <v>1059</v>
      </c>
      <c r="B16" s="1133"/>
      <c r="C16" s="1133"/>
      <c r="D16" s="1133"/>
      <c r="E16" s="1133"/>
      <c r="F16" s="1133"/>
      <c r="K16" s="951"/>
      <c r="M16" s="950"/>
    </row>
    <row r="17" spans="1:11" ht="15.75">
      <c r="A17" s="1137" t="s">
        <v>1060</v>
      </c>
      <c r="B17" s="1138">
        <v>1156750.075</v>
      </c>
      <c r="C17" s="1138">
        <v>1407947.89</v>
      </c>
      <c r="D17" s="1139">
        <v>1473966.8</v>
      </c>
      <c r="E17" s="1139">
        <v>1553508.22</v>
      </c>
      <c r="F17" s="1139">
        <v>1772419</v>
      </c>
      <c r="K17" s="952"/>
    </row>
    <row r="18" spans="1:11" ht="15.75">
      <c r="A18" s="1140" t="s">
        <v>1061</v>
      </c>
      <c r="B18" s="1138">
        <v>15792249.91</v>
      </c>
      <c r="C18" s="1138">
        <v>17414859.59</v>
      </c>
      <c r="D18" s="1138">
        <v>18803518</v>
      </c>
      <c r="E18" s="1138">
        <v>18612644.030000001</v>
      </c>
      <c r="F18" s="1138">
        <v>20081096</v>
      </c>
      <c r="K18" s="952"/>
    </row>
    <row r="19" spans="1:11" ht="15.75">
      <c r="A19" s="1140" t="s">
        <v>1062</v>
      </c>
      <c r="B19" s="1138">
        <v>15587902.939999999</v>
      </c>
      <c r="C19" s="1138">
        <v>17271314</v>
      </c>
      <c r="D19" s="1138">
        <v>18646769</v>
      </c>
      <c r="E19" s="1138">
        <v>18474450</v>
      </c>
      <c r="F19" s="1138">
        <v>19963826</v>
      </c>
      <c r="J19" s="951"/>
      <c r="K19" s="950"/>
    </row>
    <row r="20" spans="1:11" ht="15.75">
      <c r="A20" s="953" t="s">
        <v>1063</v>
      </c>
      <c r="B20" s="1131">
        <v>19541</v>
      </c>
      <c r="C20" s="1131">
        <v>60357.67</v>
      </c>
      <c r="D20" s="1131">
        <v>62016</v>
      </c>
      <c r="E20" s="1131">
        <v>19473</v>
      </c>
      <c r="F20" s="1131">
        <v>25787</v>
      </c>
      <c r="J20" s="952"/>
      <c r="K20" s="950"/>
    </row>
    <row r="21" spans="1:11" ht="15.75">
      <c r="A21" s="1132" t="s">
        <v>1064</v>
      </c>
      <c r="B21" s="1133"/>
      <c r="C21" s="1133"/>
      <c r="D21" s="1133"/>
      <c r="E21" s="1133"/>
      <c r="F21" s="1133"/>
      <c r="J21" s="950"/>
    </row>
    <row r="22" spans="1:11" ht="15.75">
      <c r="A22" s="1137" t="s">
        <v>1065</v>
      </c>
      <c r="B22" s="1138">
        <v>560715</v>
      </c>
      <c r="C22" s="1138">
        <v>574821</v>
      </c>
      <c r="D22" s="1138">
        <v>585324</v>
      </c>
      <c r="E22" s="1138">
        <v>583945</v>
      </c>
      <c r="F22" s="1138">
        <v>584554</v>
      </c>
    </row>
    <row r="23" spans="1:11" ht="15.75">
      <c r="A23" s="1140" t="s">
        <v>1066</v>
      </c>
      <c r="B23" s="1136">
        <v>73.97</v>
      </c>
      <c r="C23" s="1136">
        <v>73.8</v>
      </c>
      <c r="D23" s="1136">
        <v>73.58</v>
      </c>
      <c r="E23" s="1129">
        <v>72.95</v>
      </c>
      <c r="F23" s="1129">
        <v>73.040000000000006</v>
      </c>
    </row>
    <row r="24" spans="1:11" ht="15.75">
      <c r="A24" s="1140" t="s">
        <v>1067</v>
      </c>
      <c r="B24" s="1136">
        <v>86.97</v>
      </c>
      <c r="C24" s="1136">
        <v>88.02</v>
      </c>
      <c r="D24" s="1136">
        <v>89.81</v>
      </c>
      <c r="E24" s="1136">
        <v>88.3</v>
      </c>
      <c r="F24" s="1136">
        <v>88.8</v>
      </c>
    </row>
    <row r="25" spans="1:11" ht="15.75">
      <c r="A25" s="953" t="s">
        <v>1068</v>
      </c>
      <c r="B25" s="1129">
        <v>3.89</v>
      </c>
      <c r="C25" s="1129">
        <v>4.2300000000000004</v>
      </c>
      <c r="D25" s="1129">
        <v>3.84</v>
      </c>
      <c r="E25" s="1129">
        <v>5.13</v>
      </c>
      <c r="F25" s="1129">
        <v>5.19</v>
      </c>
    </row>
    <row r="26" spans="1:11" ht="15.75">
      <c r="A26" s="1132" t="s">
        <v>1069</v>
      </c>
      <c r="B26" s="1133"/>
      <c r="C26" s="1133"/>
      <c r="D26" s="1133"/>
      <c r="E26" s="1133"/>
      <c r="F26" s="1133"/>
    </row>
    <row r="27" spans="1:11" ht="16.5" customHeight="1">
      <c r="A27" s="1137" t="s">
        <v>1070</v>
      </c>
      <c r="B27" s="1131" t="s">
        <v>1122</v>
      </c>
      <c r="C27" s="1131" t="s">
        <v>1123</v>
      </c>
      <c r="D27" s="1131" t="s">
        <v>1124</v>
      </c>
      <c r="E27" s="1131" t="s">
        <v>1125</v>
      </c>
      <c r="F27" s="1131" t="s">
        <v>1232</v>
      </c>
    </row>
    <row r="28" spans="1:11" ht="15.75">
      <c r="A28" s="1140" t="s">
        <v>1071</v>
      </c>
      <c r="B28" s="1129">
        <v>1.31</v>
      </c>
      <c r="C28" s="1129">
        <v>2.29</v>
      </c>
      <c r="D28" s="1129">
        <v>1.95</v>
      </c>
      <c r="E28" s="1129">
        <v>2.0299999999999998</v>
      </c>
      <c r="F28" s="1129">
        <v>4.17</v>
      </c>
    </row>
    <row r="29" spans="1:11" ht="15.75">
      <c r="A29" s="1140" t="s">
        <v>1072</v>
      </c>
      <c r="B29" s="1129">
        <v>7.61</v>
      </c>
      <c r="C29" s="1129">
        <v>6.93</v>
      </c>
      <c r="D29" s="1129">
        <v>4.59</v>
      </c>
      <c r="E29" s="1129">
        <v>4.0599999999999996</v>
      </c>
      <c r="F29" s="1129">
        <v>5.03</v>
      </c>
    </row>
    <row r="30" spans="1:11" ht="15.75">
      <c r="A30" s="1132" t="s">
        <v>1073</v>
      </c>
      <c r="B30" s="1133"/>
      <c r="C30" s="1133"/>
      <c r="D30" s="1133"/>
      <c r="E30" s="1133"/>
      <c r="F30" s="1133"/>
    </row>
    <row r="31" spans="1:11" ht="15.75">
      <c r="A31" s="1137" t="s">
        <v>1074</v>
      </c>
      <c r="B31" s="1136">
        <v>129.19999999999999</v>
      </c>
      <c r="C31" s="1136">
        <v>126.1</v>
      </c>
      <c r="D31" s="1136">
        <v>136.6</v>
      </c>
      <c r="E31" s="1136">
        <v>135.19999999999999</v>
      </c>
      <c r="F31" s="1136" t="s">
        <v>275</v>
      </c>
    </row>
    <row r="32" spans="1:11" ht="15.75">
      <c r="A32" s="1140" t="s">
        <v>1075</v>
      </c>
      <c r="B32" s="1136">
        <v>98.2</v>
      </c>
      <c r="C32" s="1136">
        <v>105.2</v>
      </c>
      <c r="D32" s="1136">
        <v>115.8</v>
      </c>
      <c r="E32" s="1136">
        <v>119.7</v>
      </c>
      <c r="F32" s="1136" t="s">
        <v>275</v>
      </c>
    </row>
    <row r="33" spans="1:6" ht="15.75">
      <c r="A33" s="1140" t="s">
        <v>1076</v>
      </c>
      <c r="B33" s="1136">
        <v>131.5</v>
      </c>
      <c r="C33" s="1136">
        <v>128</v>
      </c>
      <c r="D33" s="1136">
        <v>138.30000000000001</v>
      </c>
      <c r="E33" s="1136">
        <v>135.1</v>
      </c>
      <c r="F33" s="1136" t="s">
        <v>275</v>
      </c>
    </row>
    <row r="34" spans="1:6" ht="15.75">
      <c r="A34" s="953" t="s">
        <v>1077</v>
      </c>
      <c r="B34" s="1136">
        <v>162.19999999999999</v>
      </c>
      <c r="C34" s="1136">
        <v>144.80000000000001</v>
      </c>
      <c r="D34" s="954">
        <v>158</v>
      </c>
      <c r="E34" s="1136">
        <v>164.2</v>
      </c>
      <c r="F34" s="1136" t="s">
        <v>275</v>
      </c>
    </row>
    <row r="35" spans="1:6" ht="15.75">
      <c r="A35" s="1132" t="s">
        <v>1078</v>
      </c>
      <c r="B35" s="1133"/>
      <c r="C35" s="1133"/>
      <c r="E35" s="1133"/>
      <c r="F35" s="1133"/>
    </row>
    <row r="36" spans="1:6" ht="15.75">
      <c r="A36" s="1141" t="s">
        <v>1079</v>
      </c>
      <c r="B36" s="1142">
        <v>24935</v>
      </c>
      <c r="C36" s="1142">
        <v>23570</v>
      </c>
      <c r="D36" s="1142">
        <v>27143</v>
      </c>
      <c r="E36" s="1142">
        <v>27450</v>
      </c>
      <c r="F36" s="1142">
        <v>27930</v>
      </c>
    </row>
    <row r="37" spans="1:6" ht="15.75">
      <c r="A37" s="955" t="s">
        <v>1080</v>
      </c>
      <c r="B37" s="1143">
        <v>33631</v>
      </c>
      <c r="C37" s="1143">
        <v>33396</v>
      </c>
      <c r="D37" s="1143">
        <v>42586</v>
      </c>
      <c r="E37" s="1143">
        <v>41990</v>
      </c>
      <c r="F37" s="1143">
        <v>40540</v>
      </c>
    </row>
    <row r="38" spans="1:6" ht="15.75">
      <c r="A38" s="956" t="s">
        <v>1081</v>
      </c>
      <c r="B38" s="957">
        <v>-8696</v>
      </c>
      <c r="C38" s="957">
        <v>-9826</v>
      </c>
      <c r="D38" s="957">
        <v>-15443</v>
      </c>
      <c r="E38" s="957">
        <v>-14540</v>
      </c>
      <c r="F38" s="957">
        <v>-12620</v>
      </c>
    </row>
    <row r="39" spans="1:6" ht="12.75">
      <c r="A39" s="958" t="s">
        <v>545</v>
      </c>
      <c r="B39" s="958"/>
      <c r="C39" s="958"/>
      <c r="D39" s="958"/>
    </row>
    <row r="40" spans="1:6" ht="25.5">
      <c r="A40" s="959" t="s">
        <v>1233</v>
      </c>
      <c r="B40" s="959"/>
      <c r="C40" s="959"/>
      <c r="D40" s="959"/>
    </row>
    <row r="41" spans="1:6" ht="12.75">
      <c r="A41" s="959" t="s">
        <v>1126</v>
      </c>
      <c r="B41" s="959"/>
      <c r="C41" s="959"/>
      <c r="D41" s="959"/>
    </row>
    <row r="42" spans="1:6" ht="12.75">
      <c r="A42" s="959" t="s">
        <v>1127</v>
      </c>
      <c r="B42" s="959"/>
      <c r="C42" s="959"/>
      <c r="D42" s="959"/>
    </row>
    <row r="43" spans="1:6" ht="12.75" customHeight="1">
      <c r="A43" s="959" t="s">
        <v>1128</v>
      </c>
      <c r="B43" s="959"/>
      <c r="C43" s="959"/>
      <c r="D43" s="959"/>
      <c r="E43" s="959"/>
      <c r="F43" s="959"/>
    </row>
    <row r="44" spans="1:6" ht="15.75">
      <c r="A44" s="960" t="s">
        <v>1082</v>
      </c>
      <c r="B44" s="961"/>
      <c r="C44" s="961"/>
      <c r="D44" s="962"/>
      <c r="E44" s="962"/>
      <c r="F44" s="962"/>
    </row>
  </sheetData>
  <hyperlinks>
    <hyperlink ref="A13" location="_edn3" display="_edn3"/>
  </hyperlink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0"/>
  <sheetViews>
    <sheetView workbookViewId="0">
      <selection activeCell="E4" sqref="E4:E26"/>
    </sheetView>
  </sheetViews>
  <sheetFormatPr defaultColWidth="8.85546875" defaultRowHeight="15"/>
  <cols>
    <col min="1" max="1" width="31.42578125" style="21" customWidth="1"/>
    <col min="2" max="2" width="9.7109375" style="21" customWidth="1"/>
    <col min="3" max="3" width="10.7109375" style="21" customWidth="1"/>
    <col min="4" max="4" width="9.7109375" style="21" customWidth="1"/>
    <col min="5" max="6" width="10.7109375" style="21" customWidth="1"/>
    <col min="7" max="7" width="9.42578125" style="21" customWidth="1"/>
    <col min="8" max="16384" width="8.85546875" style="21"/>
  </cols>
  <sheetData>
    <row r="1" spans="1:7" ht="18.75" customHeight="1">
      <c r="A1" s="1179" t="s">
        <v>284</v>
      </c>
      <c r="B1" s="1179"/>
      <c r="C1" s="1179"/>
      <c r="D1" s="1179"/>
      <c r="E1" s="1179"/>
      <c r="F1" s="1179"/>
      <c r="G1" s="1179"/>
    </row>
    <row r="2" spans="1:7" s="22" customFormat="1" ht="13.5" customHeight="1">
      <c r="A2" s="1218" t="s">
        <v>73</v>
      </c>
      <c r="B2" s="1219" t="s">
        <v>58</v>
      </c>
      <c r="C2" s="1219"/>
      <c r="D2" s="1219" t="s">
        <v>61</v>
      </c>
      <c r="E2" s="1219"/>
      <c r="F2" s="1220">
        <v>44255</v>
      </c>
      <c r="G2" s="1220"/>
    </row>
    <row r="3" spans="1:7" s="22" customFormat="1" ht="30">
      <c r="A3" s="1218"/>
      <c r="B3" s="74" t="s">
        <v>69</v>
      </c>
      <c r="C3" s="63" t="s">
        <v>441</v>
      </c>
      <c r="D3" s="74" t="s">
        <v>69</v>
      </c>
      <c r="E3" s="63" t="s">
        <v>441</v>
      </c>
      <c r="F3" s="74" t="s">
        <v>69</v>
      </c>
      <c r="G3" s="63" t="s">
        <v>441</v>
      </c>
    </row>
    <row r="4" spans="1:7" s="22" customFormat="1">
      <c r="A4" s="79" t="s">
        <v>286</v>
      </c>
      <c r="B4" s="82">
        <v>0</v>
      </c>
      <c r="C4" s="83">
        <v>0</v>
      </c>
      <c r="D4" s="82">
        <v>0</v>
      </c>
      <c r="E4" s="1147">
        <v>0</v>
      </c>
      <c r="F4" s="82">
        <v>0</v>
      </c>
      <c r="G4" s="83">
        <v>0</v>
      </c>
    </row>
    <row r="5" spans="1:7" s="22" customFormat="1">
      <c r="A5" s="79" t="s">
        <v>287</v>
      </c>
      <c r="B5" s="82">
        <v>0</v>
      </c>
      <c r="C5" s="83">
        <v>0</v>
      </c>
      <c r="D5" s="82">
        <v>0</v>
      </c>
      <c r="E5" s="1147">
        <v>0</v>
      </c>
      <c r="F5" s="82">
        <v>0</v>
      </c>
      <c r="G5" s="83">
        <v>0</v>
      </c>
    </row>
    <row r="6" spans="1:7" s="22" customFormat="1">
      <c r="A6" s="79" t="s">
        <v>382</v>
      </c>
      <c r="B6" s="82">
        <v>3</v>
      </c>
      <c r="C6" s="83">
        <v>2345.4762225000004</v>
      </c>
      <c r="D6" s="82">
        <v>2</v>
      </c>
      <c r="E6" s="1147">
        <v>15119.896001999999</v>
      </c>
      <c r="F6" s="82">
        <v>0</v>
      </c>
      <c r="G6" s="83">
        <v>0</v>
      </c>
    </row>
    <row r="7" spans="1:7" s="22" customFormat="1">
      <c r="A7" s="79" t="s">
        <v>288</v>
      </c>
      <c r="B7" s="82">
        <v>5</v>
      </c>
      <c r="C7" s="83">
        <v>274.93637059999998</v>
      </c>
      <c r="D7" s="82">
        <v>3</v>
      </c>
      <c r="E7" s="1147">
        <v>22.65</v>
      </c>
      <c r="F7" s="82">
        <v>0</v>
      </c>
      <c r="G7" s="83">
        <v>0</v>
      </c>
    </row>
    <row r="8" spans="1:7" s="22" customFormat="1">
      <c r="A8" s="79" t="s">
        <v>289</v>
      </c>
      <c r="B8" s="82">
        <v>4</v>
      </c>
      <c r="C8" s="83">
        <v>152.65588200000002</v>
      </c>
      <c r="D8" s="82">
        <v>3</v>
      </c>
      <c r="E8" s="1147">
        <v>993.17</v>
      </c>
      <c r="F8" s="82">
        <v>0</v>
      </c>
      <c r="G8" s="83">
        <v>0</v>
      </c>
    </row>
    <row r="9" spans="1:7" s="22" customFormat="1">
      <c r="A9" s="79" t="s">
        <v>290</v>
      </c>
      <c r="B9" s="82">
        <v>3</v>
      </c>
      <c r="C9" s="83">
        <v>66.110399999999998</v>
      </c>
      <c r="D9" s="82">
        <v>4</v>
      </c>
      <c r="E9" s="1147">
        <v>487.06</v>
      </c>
      <c r="F9" s="82">
        <v>0</v>
      </c>
      <c r="G9" s="83">
        <v>0</v>
      </c>
    </row>
    <row r="10" spans="1:7" s="22" customFormat="1">
      <c r="A10" s="79" t="s">
        <v>291</v>
      </c>
      <c r="B10" s="82">
        <v>5</v>
      </c>
      <c r="C10" s="83">
        <v>4217.9735599999995</v>
      </c>
      <c r="D10" s="82">
        <v>1</v>
      </c>
      <c r="E10" s="1147">
        <v>6.89</v>
      </c>
      <c r="F10" s="82">
        <v>0</v>
      </c>
      <c r="G10" s="83">
        <v>0</v>
      </c>
    </row>
    <row r="11" spans="1:7" s="22" customFormat="1">
      <c r="A11" s="79" t="s">
        <v>292</v>
      </c>
      <c r="B11" s="82">
        <v>5</v>
      </c>
      <c r="C11" s="83">
        <v>1992.0974509999999</v>
      </c>
      <c r="D11" s="82">
        <v>4</v>
      </c>
      <c r="E11" s="1147">
        <v>596.65</v>
      </c>
      <c r="F11" s="82">
        <v>0</v>
      </c>
      <c r="G11" s="83">
        <v>0</v>
      </c>
    </row>
    <row r="12" spans="1:7" s="22" customFormat="1">
      <c r="A12" s="79" t="s">
        <v>293</v>
      </c>
      <c r="B12" s="82">
        <v>1</v>
      </c>
      <c r="C12" s="83">
        <v>2.2692000000000001</v>
      </c>
      <c r="D12" s="82">
        <v>3</v>
      </c>
      <c r="E12" s="1147">
        <v>306.2</v>
      </c>
      <c r="F12" s="82">
        <v>0</v>
      </c>
      <c r="G12" s="83">
        <v>0</v>
      </c>
    </row>
    <row r="13" spans="1:7" s="22" customFormat="1">
      <c r="A13" s="79" t="s">
        <v>294</v>
      </c>
      <c r="B13" s="82">
        <v>3</v>
      </c>
      <c r="C13" s="83">
        <v>10446.407567999999</v>
      </c>
      <c r="D13" s="82">
        <v>7</v>
      </c>
      <c r="E13" s="1147">
        <v>14305.31</v>
      </c>
      <c r="F13" s="82">
        <v>2</v>
      </c>
      <c r="G13" s="83">
        <v>4152.33</v>
      </c>
    </row>
    <row r="14" spans="1:7" s="22" customFormat="1">
      <c r="A14" s="79" t="s">
        <v>295</v>
      </c>
      <c r="B14" s="82">
        <v>2</v>
      </c>
      <c r="C14" s="83">
        <v>64.08</v>
      </c>
      <c r="D14" s="82">
        <v>2</v>
      </c>
      <c r="E14" s="1147">
        <v>1350.54</v>
      </c>
      <c r="F14" s="82">
        <v>0</v>
      </c>
      <c r="G14" s="83">
        <v>0</v>
      </c>
    </row>
    <row r="15" spans="1:7" s="22" customFormat="1">
      <c r="A15" s="79" t="s">
        <v>296</v>
      </c>
      <c r="B15" s="82">
        <v>7</v>
      </c>
      <c r="C15" s="83">
        <v>4701.9486699999998</v>
      </c>
      <c r="D15" s="82">
        <v>2</v>
      </c>
      <c r="E15" s="1147">
        <v>6579.55</v>
      </c>
      <c r="F15" s="82">
        <v>1</v>
      </c>
      <c r="G15" s="83">
        <v>100</v>
      </c>
    </row>
    <row r="16" spans="1:7" s="22" customFormat="1">
      <c r="A16" s="79" t="s">
        <v>297</v>
      </c>
      <c r="B16" s="82">
        <v>0</v>
      </c>
      <c r="C16" s="83">
        <v>0</v>
      </c>
      <c r="D16" s="82">
        <v>1</v>
      </c>
      <c r="E16" s="1147">
        <v>349.66</v>
      </c>
      <c r="F16" s="82">
        <v>0</v>
      </c>
      <c r="G16" s="83">
        <v>0</v>
      </c>
    </row>
    <row r="17" spans="1:9" s="22" customFormat="1">
      <c r="A17" s="79" t="s">
        <v>298</v>
      </c>
      <c r="B17" s="82">
        <v>4</v>
      </c>
      <c r="C17" s="83">
        <v>484.00772219999999</v>
      </c>
      <c r="D17" s="82">
        <v>6</v>
      </c>
      <c r="E17" s="1147">
        <v>1336.25</v>
      </c>
      <c r="F17" s="82">
        <v>0</v>
      </c>
      <c r="G17" s="83">
        <v>0</v>
      </c>
    </row>
    <row r="18" spans="1:9" s="22" customFormat="1">
      <c r="A18" s="79" t="s">
        <v>307</v>
      </c>
      <c r="B18" s="82">
        <v>0</v>
      </c>
      <c r="C18" s="83">
        <v>0</v>
      </c>
      <c r="D18" s="82">
        <v>12</v>
      </c>
      <c r="E18" s="1147">
        <v>7228.3799999999992</v>
      </c>
      <c r="F18" s="82">
        <v>3</v>
      </c>
      <c r="G18" s="83">
        <v>1584.99</v>
      </c>
    </row>
    <row r="19" spans="1:9" s="22" customFormat="1">
      <c r="A19" s="79" t="s">
        <v>304</v>
      </c>
      <c r="B19" s="82">
        <v>0</v>
      </c>
      <c r="C19" s="83">
        <v>0</v>
      </c>
      <c r="D19" s="82">
        <v>1</v>
      </c>
      <c r="E19" s="1147">
        <v>4.55</v>
      </c>
      <c r="F19" s="82">
        <v>0</v>
      </c>
      <c r="G19" s="83">
        <v>0</v>
      </c>
    </row>
    <row r="20" spans="1:9" s="22" customFormat="1">
      <c r="A20" s="79" t="s">
        <v>305</v>
      </c>
      <c r="B20" s="82">
        <v>1</v>
      </c>
      <c r="C20" s="83">
        <v>500</v>
      </c>
      <c r="D20" s="82">
        <v>1</v>
      </c>
      <c r="E20" s="1147">
        <v>819.24</v>
      </c>
      <c r="F20" s="82">
        <v>1</v>
      </c>
      <c r="G20" s="83">
        <v>819.24</v>
      </c>
    </row>
    <row r="21" spans="1:9" s="22" customFormat="1">
      <c r="A21" s="79" t="s">
        <v>306</v>
      </c>
      <c r="B21" s="82">
        <v>0</v>
      </c>
      <c r="C21" s="83">
        <v>0</v>
      </c>
      <c r="D21" s="82">
        <v>2</v>
      </c>
      <c r="E21" s="1147">
        <v>996.71</v>
      </c>
      <c r="F21" s="82">
        <v>0</v>
      </c>
      <c r="G21" s="83">
        <v>0</v>
      </c>
    </row>
    <row r="22" spans="1:9" s="22" customFormat="1">
      <c r="A22" s="79" t="s">
        <v>301</v>
      </c>
      <c r="B22" s="82">
        <v>2</v>
      </c>
      <c r="C22" s="83">
        <v>8.9792000000000005</v>
      </c>
      <c r="D22" s="82">
        <v>2</v>
      </c>
      <c r="E22" s="1147">
        <v>10.55</v>
      </c>
      <c r="F22" s="82">
        <v>0</v>
      </c>
      <c r="G22" s="83">
        <v>0</v>
      </c>
    </row>
    <row r="23" spans="1:9" s="22" customFormat="1">
      <c r="A23" s="79" t="s">
        <v>302</v>
      </c>
      <c r="B23" s="82">
        <v>0</v>
      </c>
      <c r="C23" s="83">
        <v>0</v>
      </c>
      <c r="D23" s="82">
        <v>0</v>
      </c>
      <c r="E23" s="1147">
        <v>0</v>
      </c>
      <c r="F23" s="82">
        <v>0</v>
      </c>
      <c r="G23" s="83">
        <v>0</v>
      </c>
    </row>
    <row r="24" spans="1:9" s="22" customFormat="1">
      <c r="A24" s="79" t="s">
        <v>303</v>
      </c>
      <c r="B24" s="82">
        <v>3</v>
      </c>
      <c r="C24" s="83">
        <v>49969.657650000001</v>
      </c>
      <c r="D24" s="82">
        <v>1</v>
      </c>
      <c r="E24" s="1147">
        <v>2.4</v>
      </c>
      <c r="F24" s="82">
        <v>0</v>
      </c>
      <c r="G24" s="83">
        <v>0</v>
      </c>
    </row>
    <row r="25" spans="1:9" s="22" customFormat="1">
      <c r="A25" s="79" t="s">
        <v>300</v>
      </c>
      <c r="B25" s="82">
        <v>1</v>
      </c>
      <c r="C25" s="83">
        <v>23.1576345</v>
      </c>
      <c r="D25" s="82">
        <v>2</v>
      </c>
      <c r="E25" s="1147">
        <v>53149.07</v>
      </c>
      <c r="F25" s="82">
        <v>0</v>
      </c>
      <c r="G25" s="83">
        <v>0</v>
      </c>
    </row>
    <row r="26" spans="1:9" s="22" customFormat="1">
      <c r="A26" s="80" t="s">
        <v>299</v>
      </c>
      <c r="B26" s="82">
        <v>27</v>
      </c>
      <c r="C26" s="83">
        <v>1715.1552454999999</v>
      </c>
      <c r="D26" s="82">
        <v>0</v>
      </c>
      <c r="E26" s="1147">
        <v>0</v>
      </c>
      <c r="F26" s="82">
        <v>0</v>
      </c>
      <c r="G26" s="83">
        <v>0</v>
      </c>
    </row>
    <row r="27" spans="1:9" s="23" customFormat="1">
      <c r="A27" s="81" t="s">
        <v>53</v>
      </c>
      <c r="B27" s="84">
        <f>SUM(B4:B26)</f>
        <v>76</v>
      </c>
      <c r="C27" s="84">
        <f t="shared" ref="C27:G27" si="0">SUM(C4:C26)</f>
        <v>76964.912776300014</v>
      </c>
      <c r="D27" s="1148">
        <v>59</v>
      </c>
      <c r="E27" s="1148">
        <v>103664.72600200001</v>
      </c>
      <c r="F27" s="84">
        <f t="shared" si="0"/>
        <v>7</v>
      </c>
      <c r="G27" s="84">
        <f t="shared" si="0"/>
        <v>6656.5599999999995</v>
      </c>
      <c r="H27" s="22"/>
      <c r="I27" s="22"/>
    </row>
    <row r="28" spans="1:9" s="23" customFormat="1">
      <c r="A28" s="1221" t="s">
        <v>391</v>
      </c>
      <c r="B28" s="1221"/>
      <c r="C28" s="1221"/>
      <c r="D28" s="1221"/>
      <c r="E28" s="1221"/>
      <c r="F28" s="1221"/>
      <c r="G28" s="1221"/>
    </row>
    <row r="29" spans="1:9" s="22" customFormat="1">
      <c r="A29" s="87" t="s">
        <v>1175</v>
      </c>
      <c r="B29" s="88"/>
      <c r="C29" s="88"/>
      <c r="D29" s="88"/>
      <c r="E29" s="88"/>
      <c r="F29" s="88"/>
      <c r="G29" s="88"/>
    </row>
    <row r="30" spans="1:9" s="22" customFormat="1">
      <c r="A30" s="1180" t="s">
        <v>43</v>
      </c>
      <c r="B30" s="1180"/>
      <c r="C30" s="1180"/>
      <c r="D30" s="1180"/>
      <c r="E30" s="1180"/>
      <c r="F30" s="1180"/>
      <c r="G30" s="1180"/>
    </row>
  </sheetData>
  <mergeCells count="7">
    <mergeCell ref="A30:G30"/>
    <mergeCell ref="A1:G1"/>
    <mergeCell ref="A2:A3"/>
    <mergeCell ref="B2:C2"/>
    <mergeCell ref="D2:E2"/>
    <mergeCell ref="F2:G2"/>
    <mergeCell ref="A28:G2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1"/>
  <sheetViews>
    <sheetView workbookViewId="0">
      <selection activeCell="F25" sqref="F25"/>
    </sheetView>
  </sheetViews>
  <sheetFormatPr defaultColWidth="8.85546875" defaultRowHeight="15"/>
  <cols>
    <col min="1" max="1" width="12.28515625" style="21" bestFit="1" customWidth="1"/>
    <col min="2" max="2" width="6.5703125" style="21" bestFit="1" customWidth="1"/>
    <col min="3" max="3" width="9.28515625" style="21" bestFit="1" customWidth="1"/>
    <col min="4" max="4" width="9.7109375" style="21" customWidth="1"/>
    <col min="5" max="5" width="9.28515625" style="21" customWidth="1"/>
    <col min="6" max="7" width="8.85546875" style="21" customWidth="1"/>
    <col min="8" max="8" width="8.42578125" style="21" customWidth="1"/>
    <col min="9" max="9" width="9.7109375" style="21" customWidth="1"/>
    <col min="10" max="10" width="8.42578125" style="21" customWidth="1"/>
    <col min="11" max="11" width="9.28515625" style="21" customWidth="1"/>
    <col min="12" max="12" width="8.85546875" style="21" customWidth="1"/>
    <col min="13" max="13" width="10.28515625" style="21" customWidth="1"/>
    <col min="14" max="14" width="8.85546875" style="21" customWidth="1"/>
    <col min="15" max="15" width="9.140625" style="21" customWidth="1"/>
    <col min="16" max="16" width="8.28515625" style="21" customWidth="1"/>
    <col min="17" max="17" width="9" style="21" customWidth="1"/>
    <col min="18" max="18" width="4.7109375" style="21" bestFit="1" customWidth="1"/>
    <col min="19" max="16384" width="8.85546875" style="21"/>
  </cols>
  <sheetData>
    <row r="1" spans="1:17" ht="16.5" customHeight="1">
      <c r="A1" s="1223" t="s">
        <v>308</v>
      </c>
      <c r="B1" s="1223"/>
      <c r="C1" s="1223"/>
      <c r="D1" s="1223"/>
      <c r="E1" s="1223"/>
      <c r="F1" s="1223"/>
      <c r="G1" s="1223"/>
      <c r="H1" s="1223"/>
      <c r="I1" s="1223"/>
      <c r="J1" s="1223"/>
      <c r="K1" s="1223"/>
      <c r="L1" s="1223"/>
    </row>
    <row r="2" spans="1:17" s="22" customFormat="1">
      <c r="A2" s="1224" t="s">
        <v>51</v>
      </c>
      <c r="B2" s="1227" t="s">
        <v>53</v>
      </c>
      <c r="C2" s="1228"/>
      <c r="D2" s="1231" t="s">
        <v>74</v>
      </c>
      <c r="E2" s="1232"/>
      <c r="F2" s="1232"/>
      <c r="G2" s="1233"/>
      <c r="H2" s="1231" t="s">
        <v>75</v>
      </c>
      <c r="I2" s="1232"/>
      <c r="J2" s="1232"/>
      <c r="K2" s="1232"/>
      <c r="L2" s="1232"/>
      <c r="M2" s="1232"/>
      <c r="N2" s="1232"/>
      <c r="O2" s="1232"/>
      <c r="P2" s="1232"/>
      <c r="Q2" s="1232"/>
    </row>
    <row r="3" spans="1:17" s="22" customFormat="1">
      <c r="A3" s="1225"/>
      <c r="B3" s="1229"/>
      <c r="C3" s="1230"/>
      <c r="D3" s="1231" t="s">
        <v>76</v>
      </c>
      <c r="E3" s="1233"/>
      <c r="F3" s="1231" t="s">
        <v>63</v>
      </c>
      <c r="G3" s="1233"/>
      <c r="H3" s="1231" t="s">
        <v>77</v>
      </c>
      <c r="I3" s="1233"/>
      <c r="J3" s="1231" t="s">
        <v>78</v>
      </c>
      <c r="K3" s="1233"/>
      <c r="L3" s="1231" t="s">
        <v>79</v>
      </c>
      <c r="M3" s="1233"/>
      <c r="N3" s="1231" t="s">
        <v>80</v>
      </c>
      <c r="O3" s="1233"/>
      <c r="P3" s="1231" t="s">
        <v>81</v>
      </c>
      <c r="Q3" s="1233"/>
    </row>
    <row r="4" spans="1:17" s="22" customFormat="1" ht="30">
      <c r="A4" s="1226"/>
      <c r="B4" s="74" t="s">
        <v>69</v>
      </c>
      <c r="C4" s="63" t="s">
        <v>441</v>
      </c>
      <c r="D4" s="74" t="s">
        <v>69</v>
      </c>
      <c r="E4" s="63" t="s">
        <v>441</v>
      </c>
      <c r="F4" s="74" t="s">
        <v>69</v>
      </c>
      <c r="G4" s="63" t="s">
        <v>441</v>
      </c>
      <c r="H4" s="74" t="s">
        <v>69</v>
      </c>
      <c r="I4" s="63" t="s">
        <v>441</v>
      </c>
      <c r="J4" s="74" t="s">
        <v>69</v>
      </c>
      <c r="K4" s="63" t="s">
        <v>441</v>
      </c>
      <c r="L4" s="74" t="s">
        <v>69</v>
      </c>
      <c r="M4" s="63" t="s">
        <v>441</v>
      </c>
      <c r="N4" s="74" t="s">
        <v>69</v>
      </c>
      <c r="O4" s="63" t="s">
        <v>441</v>
      </c>
      <c r="P4" s="74" t="s">
        <v>69</v>
      </c>
      <c r="Q4" s="63" t="s">
        <v>441</v>
      </c>
    </row>
    <row r="5" spans="1:17" s="23" customFormat="1" ht="18" customHeight="1">
      <c r="A5" s="89" t="s">
        <v>58</v>
      </c>
      <c r="B5" s="90">
        <f>D5+F5</f>
        <v>76</v>
      </c>
      <c r="C5" s="91">
        <f>E5+G5</f>
        <v>76964.921663200003</v>
      </c>
      <c r="D5" s="90">
        <v>74</v>
      </c>
      <c r="E5" s="91">
        <v>75849.851663199996</v>
      </c>
      <c r="F5" s="90">
        <v>2</v>
      </c>
      <c r="G5" s="91">
        <v>1115.0700000000002</v>
      </c>
      <c r="H5" s="90">
        <v>17</v>
      </c>
      <c r="I5" s="91">
        <v>39089.743609999998</v>
      </c>
      <c r="J5" s="90">
        <v>0</v>
      </c>
      <c r="K5" s="91">
        <v>0</v>
      </c>
      <c r="L5" s="90">
        <v>51</v>
      </c>
      <c r="M5" s="91">
        <v>34666.080000000002</v>
      </c>
      <c r="N5" s="90">
        <v>8</v>
      </c>
      <c r="O5" s="91">
        <v>3209.0995856999998</v>
      </c>
      <c r="P5" s="92">
        <v>0</v>
      </c>
      <c r="Q5" s="91">
        <v>0</v>
      </c>
    </row>
    <row r="6" spans="1:17" s="23" customFormat="1" ht="18" customHeight="1">
      <c r="A6" s="218" t="s">
        <v>61</v>
      </c>
      <c r="B6" s="219">
        <f>SUM(B7:B17)</f>
        <v>59</v>
      </c>
      <c r="C6" s="219">
        <f>SUM(C7:C17)</f>
        <v>103664.72445199999</v>
      </c>
      <c r="D6" s="219">
        <f t="shared" ref="D6:Q6" si="0">SUM(D7:D17)</f>
        <v>56</v>
      </c>
      <c r="E6" s="219">
        <f t="shared" si="0"/>
        <v>97768.414451999997</v>
      </c>
      <c r="F6" s="219">
        <f t="shared" si="0"/>
        <v>3</v>
      </c>
      <c r="G6" s="219">
        <f t="shared" si="0"/>
        <v>5896.3099999999995</v>
      </c>
      <c r="H6" s="219">
        <f t="shared" si="0"/>
        <v>9</v>
      </c>
      <c r="I6" s="219">
        <f t="shared" si="0"/>
        <v>6674.6694769999995</v>
      </c>
      <c r="J6" s="219">
        <f t="shared" si="0"/>
        <v>2</v>
      </c>
      <c r="K6" s="219">
        <f t="shared" si="0"/>
        <v>429.19000000000005</v>
      </c>
      <c r="L6" s="219">
        <f t="shared" si="0"/>
        <v>37</v>
      </c>
      <c r="M6" s="219">
        <f t="shared" si="0"/>
        <v>84472.904974999998</v>
      </c>
      <c r="N6" s="219">
        <f t="shared" si="0"/>
        <v>10</v>
      </c>
      <c r="O6" s="219">
        <f t="shared" si="0"/>
        <v>12084.72</v>
      </c>
      <c r="P6" s="219">
        <f t="shared" si="0"/>
        <v>1</v>
      </c>
      <c r="Q6" s="219">
        <f t="shared" si="0"/>
        <v>3.24</v>
      </c>
    </row>
    <row r="7" spans="1:17" s="22" customFormat="1">
      <c r="A7" s="212">
        <v>43922</v>
      </c>
      <c r="B7" s="173">
        <v>3</v>
      </c>
      <c r="C7" s="213">
        <v>13.92</v>
      </c>
      <c r="D7" s="173">
        <v>3</v>
      </c>
      <c r="E7" s="213">
        <v>13.92</v>
      </c>
      <c r="F7" s="173">
        <v>0</v>
      </c>
      <c r="G7" s="173">
        <v>0</v>
      </c>
      <c r="H7" s="173">
        <v>0</v>
      </c>
      <c r="I7" s="173">
        <v>0</v>
      </c>
      <c r="J7" s="173">
        <v>0</v>
      </c>
      <c r="K7" s="173">
        <v>0</v>
      </c>
      <c r="L7" s="173">
        <v>3</v>
      </c>
      <c r="M7" s="213">
        <v>13.92</v>
      </c>
      <c r="N7" s="173">
        <v>0</v>
      </c>
      <c r="O7" s="213">
        <v>0</v>
      </c>
      <c r="P7" s="211">
        <v>0</v>
      </c>
      <c r="Q7" s="208">
        <v>0</v>
      </c>
    </row>
    <row r="8" spans="1:17" s="22" customFormat="1">
      <c r="A8" s="212">
        <v>43952</v>
      </c>
      <c r="B8" s="173">
        <v>0</v>
      </c>
      <c r="C8" s="173">
        <v>0</v>
      </c>
      <c r="D8" s="173">
        <v>0</v>
      </c>
      <c r="E8" s="173">
        <v>0</v>
      </c>
      <c r="F8" s="173">
        <v>0</v>
      </c>
      <c r="G8" s="173">
        <v>0</v>
      </c>
      <c r="H8" s="173">
        <v>0</v>
      </c>
      <c r="I8" s="173">
        <v>0</v>
      </c>
      <c r="J8" s="173">
        <v>0</v>
      </c>
      <c r="K8" s="173">
        <v>0</v>
      </c>
      <c r="L8" s="173">
        <v>0</v>
      </c>
      <c r="M8" s="173">
        <v>0</v>
      </c>
      <c r="N8" s="173">
        <v>0</v>
      </c>
      <c r="O8" s="173">
        <v>0</v>
      </c>
      <c r="P8" s="211">
        <v>0</v>
      </c>
      <c r="Q8" s="211">
        <v>0</v>
      </c>
    </row>
    <row r="9" spans="1:17" s="22" customFormat="1">
      <c r="A9" s="212">
        <v>43983</v>
      </c>
      <c r="B9" s="173">
        <v>2</v>
      </c>
      <c r="C9" s="213">
        <f>E9+G9</f>
        <v>53126.66</v>
      </c>
      <c r="D9" s="173">
        <v>2</v>
      </c>
      <c r="E9" s="213">
        <v>53126.66</v>
      </c>
      <c r="F9" s="173">
        <v>0</v>
      </c>
      <c r="G9" s="173">
        <v>0</v>
      </c>
      <c r="H9" s="173">
        <v>0</v>
      </c>
      <c r="I9" s="173">
        <v>0</v>
      </c>
      <c r="J9" s="173">
        <v>0</v>
      </c>
      <c r="K9" s="173">
        <v>0</v>
      </c>
      <c r="L9" s="173">
        <v>2</v>
      </c>
      <c r="M9" s="213">
        <v>53126.66</v>
      </c>
      <c r="N9" s="173">
        <v>0</v>
      </c>
      <c r="O9" s="213">
        <v>0</v>
      </c>
      <c r="P9" s="211">
        <v>0</v>
      </c>
      <c r="Q9" s="211">
        <v>0</v>
      </c>
    </row>
    <row r="10" spans="1:17" s="22" customFormat="1">
      <c r="A10" s="212">
        <v>44013</v>
      </c>
      <c r="B10" s="173">
        <v>5</v>
      </c>
      <c r="C10" s="213">
        <v>15910.569975000002</v>
      </c>
      <c r="D10" s="173">
        <v>5</v>
      </c>
      <c r="E10" s="213">
        <v>15910.569975000002</v>
      </c>
      <c r="F10" s="173">
        <v>0</v>
      </c>
      <c r="G10" s="173">
        <v>0</v>
      </c>
      <c r="H10" s="173">
        <v>2</v>
      </c>
      <c r="I10" s="173">
        <v>14.53</v>
      </c>
      <c r="J10" s="173">
        <v>0</v>
      </c>
      <c r="K10" s="173">
        <v>0</v>
      </c>
      <c r="L10" s="173">
        <v>3</v>
      </c>
      <c r="M10" s="213">
        <v>15896.039975000002</v>
      </c>
      <c r="N10" s="173">
        <v>0</v>
      </c>
      <c r="O10" s="213">
        <v>0</v>
      </c>
      <c r="P10" s="211">
        <v>0</v>
      </c>
      <c r="Q10" s="211">
        <v>0</v>
      </c>
    </row>
    <row r="11" spans="1:17" s="22" customFormat="1">
      <c r="A11" s="212">
        <v>44044</v>
      </c>
      <c r="B11" s="173">
        <v>9</v>
      </c>
      <c r="C11" s="213">
        <f t="shared" ref="C11:C12" si="1">E11+G11</f>
        <v>6107.75</v>
      </c>
      <c r="D11" s="173">
        <v>9</v>
      </c>
      <c r="E11" s="213">
        <v>6107.75</v>
      </c>
      <c r="F11" s="173">
        <v>0</v>
      </c>
      <c r="G11" s="173">
        <v>0</v>
      </c>
      <c r="H11" s="173">
        <v>1</v>
      </c>
      <c r="I11" s="173">
        <v>299.79000000000002</v>
      </c>
      <c r="J11" s="173">
        <v>1</v>
      </c>
      <c r="K11" s="173">
        <v>79.53</v>
      </c>
      <c r="L11" s="173">
        <v>5</v>
      </c>
      <c r="M11" s="213">
        <v>4211.37</v>
      </c>
      <c r="N11" s="173">
        <v>2</v>
      </c>
      <c r="O11" s="213">
        <v>1517.06</v>
      </c>
      <c r="P11" s="211">
        <v>0</v>
      </c>
      <c r="Q11" s="211">
        <v>0</v>
      </c>
    </row>
    <row r="12" spans="1:17" s="22" customFormat="1">
      <c r="A12" s="212">
        <v>44075</v>
      </c>
      <c r="B12" s="173">
        <v>5</v>
      </c>
      <c r="C12" s="213">
        <f t="shared" si="1"/>
        <v>1671.5944769999999</v>
      </c>
      <c r="D12" s="173">
        <v>5</v>
      </c>
      <c r="E12" s="213">
        <v>1671.5944769999999</v>
      </c>
      <c r="F12" s="173">
        <v>0</v>
      </c>
      <c r="G12" s="173">
        <v>0</v>
      </c>
      <c r="H12" s="173">
        <v>2</v>
      </c>
      <c r="I12" s="173">
        <v>362.68947700000001</v>
      </c>
      <c r="J12" s="173">
        <v>0</v>
      </c>
      <c r="K12" s="173">
        <v>0</v>
      </c>
      <c r="L12" s="173">
        <v>2</v>
      </c>
      <c r="M12" s="213">
        <v>606.88499999999999</v>
      </c>
      <c r="N12" s="173">
        <v>1</v>
      </c>
      <c r="O12" s="213">
        <v>702.02</v>
      </c>
      <c r="P12" s="211">
        <v>0</v>
      </c>
      <c r="Q12" s="211">
        <v>0</v>
      </c>
    </row>
    <row r="13" spans="1:17" s="22" customFormat="1">
      <c r="A13" s="212">
        <v>44105</v>
      </c>
      <c r="B13" s="173">
        <f t="shared" ref="B13:C15" si="2">D13+F13</f>
        <v>17</v>
      </c>
      <c r="C13" s="213">
        <f t="shared" si="2"/>
        <v>6440.61</v>
      </c>
      <c r="D13" s="173">
        <v>16</v>
      </c>
      <c r="E13" s="213">
        <v>5996.92</v>
      </c>
      <c r="F13" s="173">
        <v>1</v>
      </c>
      <c r="G13" s="173">
        <v>443.69</v>
      </c>
      <c r="H13" s="173">
        <v>1</v>
      </c>
      <c r="I13" s="173">
        <v>4.5</v>
      </c>
      <c r="J13" s="173">
        <v>1</v>
      </c>
      <c r="K13" s="173">
        <v>349.66</v>
      </c>
      <c r="L13" s="173">
        <v>13</v>
      </c>
      <c r="M13" s="213">
        <v>3783.14</v>
      </c>
      <c r="N13" s="173">
        <v>2</v>
      </c>
      <c r="O13" s="213">
        <v>2303.31</v>
      </c>
      <c r="P13" s="211">
        <v>0</v>
      </c>
      <c r="Q13" s="211">
        <v>0</v>
      </c>
    </row>
    <row r="14" spans="1:17" s="22" customFormat="1">
      <c r="A14" s="207">
        <v>44136</v>
      </c>
      <c r="B14" s="211">
        <f t="shared" si="2"/>
        <v>4</v>
      </c>
      <c r="C14" s="208">
        <f t="shared" si="2"/>
        <v>7070.0400000000009</v>
      </c>
      <c r="D14" s="211">
        <v>4</v>
      </c>
      <c r="E14" s="208">
        <v>7070.0400000000009</v>
      </c>
      <c r="F14" s="211">
        <v>0</v>
      </c>
      <c r="G14" s="211">
        <v>0</v>
      </c>
      <c r="H14" s="211">
        <v>0</v>
      </c>
      <c r="I14" s="211">
        <v>0</v>
      </c>
      <c r="J14" s="211">
        <v>0</v>
      </c>
      <c r="K14" s="211">
        <v>0</v>
      </c>
      <c r="L14" s="211">
        <v>1</v>
      </c>
      <c r="M14" s="208">
        <v>1.59</v>
      </c>
      <c r="N14" s="211">
        <v>3</v>
      </c>
      <c r="O14" s="208">
        <v>7068.45</v>
      </c>
      <c r="P14" s="211">
        <v>0</v>
      </c>
      <c r="Q14" s="211">
        <v>0</v>
      </c>
    </row>
    <row r="15" spans="1:17" s="22" customFormat="1">
      <c r="A15" s="212">
        <v>44166</v>
      </c>
      <c r="B15" s="211">
        <f t="shared" si="2"/>
        <v>4</v>
      </c>
      <c r="C15" s="211">
        <f t="shared" si="2"/>
        <v>1652.4</v>
      </c>
      <c r="D15" s="211">
        <v>4</v>
      </c>
      <c r="E15" s="208">
        <v>1652.4</v>
      </c>
      <c r="F15" s="211">
        <v>0</v>
      </c>
      <c r="G15" s="211">
        <v>0</v>
      </c>
      <c r="H15" s="211">
        <v>1</v>
      </c>
      <c r="I15" s="211">
        <v>540.54</v>
      </c>
      <c r="J15" s="211">
        <v>0</v>
      </c>
      <c r="K15" s="211">
        <v>0</v>
      </c>
      <c r="L15" s="211">
        <v>3</v>
      </c>
      <c r="M15" s="208">
        <v>1111.8599999999999</v>
      </c>
      <c r="N15" s="211">
        <v>0</v>
      </c>
      <c r="O15" s="208">
        <v>0</v>
      </c>
      <c r="P15" s="211">
        <v>0</v>
      </c>
      <c r="Q15" s="211">
        <v>0</v>
      </c>
    </row>
    <row r="16" spans="1:17" s="22" customFormat="1">
      <c r="A16" s="212">
        <v>44227</v>
      </c>
      <c r="B16" s="211">
        <f t="shared" ref="B16" si="3">D16+F16</f>
        <v>3</v>
      </c>
      <c r="C16" s="211">
        <f t="shared" ref="C16" si="4">E16+G16</f>
        <v>5014.62</v>
      </c>
      <c r="D16" s="211">
        <v>2</v>
      </c>
      <c r="E16" s="208">
        <v>381.24</v>
      </c>
      <c r="F16" s="211">
        <v>1</v>
      </c>
      <c r="G16" s="211">
        <v>4633.38</v>
      </c>
      <c r="H16" s="211">
        <v>1</v>
      </c>
      <c r="I16" s="211">
        <v>4633.38</v>
      </c>
      <c r="J16" s="211">
        <v>0</v>
      </c>
      <c r="K16" s="211">
        <v>0</v>
      </c>
      <c r="L16" s="211">
        <v>1</v>
      </c>
      <c r="M16" s="208">
        <v>299.99</v>
      </c>
      <c r="N16" s="211">
        <v>1</v>
      </c>
      <c r="O16" s="208">
        <v>81.25</v>
      </c>
      <c r="P16" s="211">
        <v>0</v>
      </c>
      <c r="Q16" s="211">
        <v>0</v>
      </c>
    </row>
    <row r="17" spans="1:17" s="22" customFormat="1">
      <c r="A17" s="212">
        <v>44228</v>
      </c>
      <c r="B17" s="211">
        <f t="shared" ref="B17" si="5">D17+F17</f>
        <v>7</v>
      </c>
      <c r="C17" s="211">
        <f t="shared" ref="C17" si="6">E17+G17</f>
        <v>6656.5599999999995</v>
      </c>
      <c r="D17" s="211">
        <v>6</v>
      </c>
      <c r="E17" s="208">
        <v>5837.32</v>
      </c>
      <c r="F17" s="211">
        <v>1</v>
      </c>
      <c r="G17" s="211">
        <v>819.24</v>
      </c>
      <c r="H17" s="211">
        <v>1</v>
      </c>
      <c r="I17" s="211">
        <v>819.24</v>
      </c>
      <c r="J17" s="211">
        <v>0</v>
      </c>
      <c r="K17" s="211">
        <v>0</v>
      </c>
      <c r="L17" s="211">
        <v>4</v>
      </c>
      <c r="M17" s="208">
        <v>5421.45</v>
      </c>
      <c r="N17" s="211">
        <v>1</v>
      </c>
      <c r="O17" s="208">
        <v>412.63</v>
      </c>
      <c r="P17" s="211">
        <v>1</v>
      </c>
      <c r="Q17" s="211">
        <v>3.24</v>
      </c>
    </row>
    <row r="18" spans="1:17" s="22" customFormat="1" ht="32.25" customHeight="1">
      <c r="A18" s="1222" t="s">
        <v>391</v>
      </c>
      <c r="B18" s="1222"/>
      <c r="C18" s="1222"/>
      <c r="D18" s="1222"/>
      <c r="E18" s="1222"/>
      <c r="F18" s="1222"/>
      <c r="G18" s="1222"/>
      <c r="H18" s="1222"/>
      <c r="I18" s="1222"/>
      <c r="J18" s="1222"/>
      <c r="K18" s="1222"/>
      <c r="L18" s="1222"/>
      <c r="M18" s="1179"/>
      <c r="N18" s="1179"/>
      <c r="O18" s="1179"/>
    </row>
    <row r="19" spans="1:17" s="22" customFormat="1" ht="17.25" customHeight="1">
      <c r="A19" s="1222" t="s">
        <v>1175</v>
      </c>
      <c r="B19" s="1222"/>
      <c r="C19" s="1222"/>
      <c r="D19" s="1222"/>
      <c r="E19" s="1222"/>
      <c r="F19" s="1222"/>
    </row>
    <row r="20" spans="1:17" s="22" customFormat="1">
      <c r="A20" s="1180" t="s">
        <v>43</v>
      </c>
      <c r="B20" s="1180"/>
      <c r="C20" s="1180"/>
    </row>
    <row r="21" spans="1:17" s="22" customFormat="1"/>
  </sheetData>
  <mergeCells count="16">
    <mergeCell ref="A19:F19"/>
    <mergeCell ref="A20:C20"/>
    <mergeCell ref="A1:L1"/>
    <mergeCell ref="A2:A4"/>
    <mergeCell ref="B2:C3"/>
    <mergeCell ref="D2:G2"/>
    <mergeCell ref="H2:Q2"/>
    <mergeCell ref="D3:E3"/>
    <mergeCell ref="F3:G3"/>
    <mergeCell ref="H3:I3"/>
    <mergeCell ref="J3:K3"/>
    <mergeCell ref="L3:M3"/>
    <mergeCell ref="N3:O3"/>
    <mergeCell ref="P3:Q3"/>
    <mergeCell ref="A18:L18"/>
    <mergeCell ref="M18:O18"/>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Klassify>
  <SNO>15</SNO>
  <KDate>2021-03-31 15:49:08</KDate>
  <Classification>SEBI-INTERNAL</Classification>
  <HostName>MUM0111649</HostName>
  <Domain_User>SEBINT/1649</Domain_User>
  <IPAdd>10.88.99.116</IPAdd>
  <FilePath>C:\Users\1649\AppData\Roaming\Klassify\85970\March 2021 Bulletin Tables.xlsx</FilePath>
  <KID>14B31F138D4F637280000456642648</KID>
</Klassify>
</file>

<file path=customXml/item10.xml><?xml version="1.0" encoding="utf-8"?>
<Klassify>
  <SNO>10</SNO>
  <KDate>2021-01-18 16:42:47</KDate>
  <Classification>SEBI-INTERNAL</Classification>
  <HostName>MUM0112001</HostName>
  <Domain_User>SEBINT/2001</Domain_User>
  <IPAdd>10.88.101.232</IPAdd>
  <FilePath>C:\Users\2001\AppData\Roaming\Klassify\66311\Dec 2020 tables as on Jan 18.xlsm</FilePath>
  <KID>14B31F138D4F637280000456642648</KID>
  <UniqueName/>
  <Suggested/>
  <Justification/>
</Klassify>
</file>

<file path=customXml/item11.xml><?xml version="1.0" encoding="utf-8"?>
<Klassify>
  <SNO>2</SNO>
  <KDate>2020-12-14 14:49:57</KDate>
  <Classification>SEBI-INTERNAL</Classification>
  <HostName>MUM0111515A</HostName>
  <Domain_User>SEBINT/1515</Domain_User>
  <IPAdd>10.88.98.176</IPAdd>
  <FilePath>C:\Users\1515\AppData\Roaming\Klassify\34687\Copy of Bulletin tables - Dec 2020.xlsm</FilePath>
  <KID>14B31F138D4F637280000456642648</KID>
  <UniqueName/>
  <Suggested/>
  <Justification/>
</Klassify>
</file>

<file path=customXml/item12.xml><?xml version="1.0" encoding="utf-8"?>
<Klassify>
  <SNO>11</SNO>
  <KDate>2021-01-18 18:11:28</KDate>
  <Classification>SEBI-PUBLIC</Classification>
  <HostName>MUM0111409</HostName>
  <Domain_User>SEBINT/1409</Domain_User>
  <IPAdd>10.88.103.30</IPAdd>
  <FilePath>C:\Users\1409\AppData\Roaming\Klassify\13405\Dec 2020 tables as on Jan 18.xlsm</FilePath>
  <KID>14B31F138D4F637280000456642648</KID>
  <UniqueName/>
  <Suggested/>
  <Justification/>
</Klassify>
</file>

<file path=customXml/item13.xml><?xml version="1.0" encoding="utf-8"?>
<Klassify>
  <SNO>3</SNO>
  <KDate>2020-12-29 12:47:41</KDate>
  <Classification>SEBI-INTERNAL</Classification>
  <HostName>MUM0111515A</HostName>
  <Domain_User>SEBINT/1515</Domain_User>
  <IPAdd>10.88.98.176</IPAdd>
  <FilePath>C:\Users\1515\AppData\Roaming\Klassify\96179\Copy of Bulletin tables - Dec 2020_DGM corrections - corrected as on December 23   .xlsm</FilePath>
  <KID>14B31F138D4F637280000456642648</KID>
  <UniqueName/>
  <Suggested/>
  <Justification/>
</Klassify>
</file>

<file path=customXml/item14.xml><?xml version="1.0" encoding="utf-8"?>
<Klassify>
  <SNO>4</SNO>
  <KDate>2021-01-01 19:09:02</KDate>
  <Classification>SEBI-INTERNAL</Classification>
  <HostName>MUM0111409</HostName>
  <Domain_User>SEBINT/1409</Domain_User>
  <IPAdd>10.88.101.248</IPAdd>
  <FilePath>C:\Users\1409\AppData\Roaming\Klassify\75146\SEBI Bulletin Tables Dec 2020.xlsm</FilePath>
  <KID>14B31F138D4F637280000456642648</KID>
  <UniqueName/>
  <Suggested/>
  <Justification/>
</Klassify>
</file>

<file path=customXml/item15.xml><?xml version="1.0" encoding="utf-8"?>
<Klassify>
  <SNO>7</SNO>
  <KDate>2021-01-13 10:23:17</KDate>
  <Classification>SEBI-PUBLIC</Classification>
  <HostName>MUM0111409</HostName>
  <Domain_User>SEBINT/1409</Domain_User>
  <IPAdd>10.88.101.248</IPAdd>
  <FilePath>D:\Desktop_C\DEPA I\Publications\Bulletin\Bulletin CMR\December 2020\Sent to ITD for publishing\SEBI Bulletin Tables Dec 2020 Final sent to Bulletin (6).xlsm</FilePath>
  <KID>14B31F138D4F637280000456642648</KID>
  <UniqueName/>
  <Suggested/>
  <Justification/>
</Klassify>
</file>

<file path=customXml/item16.xml><?xml version="1.0" encoding="utf-8"?>
<Klassify>
  <SNO>13</SNO>
  <KDate>2021-02-12 11:23:16</KDate>
  <Classification>SEBI-INTERNAL</Classification>
  <HostName>MUM0111409</HostName>
  <Domain_User>SEBINT/1409</Domain_User>
  <IPAdd>10.88.103.30</IPAdd>
  <FilePath>C:\Users\1409\AppData\Roaming\Klassify\30879\Feb 2021 Bulletin Tables.xlsm</FilePath>
  <KID>14B31F138D4F637280000456642648</KID>
  <UniqueName/>
  <Suggested/>
  <Justification/>
</Klassify>
</file>

<file path=customXml/item17.xml><?xml version="1.0" encoding="utf-8"?>
<Klassify>
  <SNO>1</SNO>
  <KDate>2020-06-17 14:14:05</KDate>
  <Classification>SEBI-INTERNAL</Classification>
  <HostName>MUM0111997</HostName>
  <Domain_User>SEBINT/1997</Domain_User>
  <IPAdd>10.21.61.67</IPAdd>
  <FilePath>C:\Users\1997\AppData\Roaming\Klassify\38142\JUN-20.xls</FilePath>
  <KID>14B31F138D4F637280000456642648</KID>
  <UniqueName/>
  <Suggested/>
  <Justification/>
</Klassify>
</file>

<file path=customXml/item2.xml><?xml version="1.0" encoding="utf-8"?>
<Klassify>
  <SNO>6</SNO>
  <KDate>2021-01-07 15:47:50</KDate>
  <Classification>SEBI-INTERNAL</Classification>
  <HostName>MUM0111409</HostName>
  <Domain_User>SEBINT/1409</Domain_User>
  <IPAdd>10.88.101.248</IPAdd>
  <FilePath>C:\Users\1409\AppData\Roaming\Klassify\4354\SEBI Bulletin Tables Dec 2020 Final sent to Bulletin.xlsm</FilePath>
  <KID>14B31F138D4F637280000456642648</KID>
  <UniqueName/>
  <Suggested/>
  <Justification/>
</Klassify>
</file>

<file path=customXml/item3.xml>
</file>

<file path=customXml/item4.xml><?xml version="1.0" encoding="utf-8"?>
<Klassify>
  <SNO>8</SNO>
  <KDate>2021-01-18 11:54:49</KDate>
  <Classification>SEBI-INTERNAL</Classification>
  <HostName>MUM0112001</HostName>
  <Domain_User>SEBINT/2001</Domain_User>
  <IPAdd>10.88.101.232</IPAdd>
  <FilePath>C:\Users\2001\AppData\Roaming\Klassify\10195\Dec 2020 tables.xlsm</FilePath>
  <KID>14B31F138D4F637280000456642648</KID>
  <UniqueName/>
  <Suggested/>
  <Justification/>
</Klassify>
</file>

<file path=customXml/item5.xml><?xml version="1.0" encoding="utf-8"?>
<Klassify>
  <SNO>12</SNO>
  <KDate>2021-01-29 14:13:58</KDate>
  <Classification>SEBI-INTERNAL</Classification>
  <HostName>MUM0111649</HostName>
  <Domain_User>SEBINT/1649</Domain_User>
  <IPAdd>10.88.99.116</IPAdd>
  <FilePath>C:\Users\1649\AppData\Roaming\Klassify\34510\Tables.xlsm</FilePath>
  <KID>14B31F138D4F637280000456642648</KID>
  <UniqueName/>
  <Suggested/>
  <Justification/>
</Klassify>
</file>

<file path=customXml/item6.xml><?xml version="1.0" encoding="utf-8"?>
<Klassify>
  <SNO>5</SNO>
  <KDate>2021-01-07 14:51:46</KDate>
  <Classification>SEBI-INTERNAL</Classification>
  <HostName>MUM0111409</HostName>
  <Domain_User>SEBINT/1409</Domain_User>
  <IPAdd>10.88.101.248</IPAdd>
  <FilePath>C:\Users\1409\AppData\Roaming\Klassify\81225\SEBI Bulletin Tables Dec 2020 Final sent to Bulletin.xlsm</FilePath>
  <KID>14B31F138D4F637280000456642648</KID>
  <UniqueName/>
  <Suggested/>
  <Justification/>
</Klassify>
</file>

<file path=customXml/item7.xml><?xml version="1.0" encoding="utf-8"?>
<Klassify>
  <SNO>9</SNO>
  <KDate>2021-01-18 15:09:27</KDate>
  <Classification>SEBI-INTERNAL</Classification>
  <HostName>MUM0111515A</HostName>
  <Domain_User>SEBINT/1515</Domain_User>
  <IPAdd>10.88.98.176</IPAdd>
  <FilePath>C:\Users\1515\AppData\Roaming\Klassify\68387\Copy of Dec 2020 tables.xlsm</FilePath>
  <KID>14B31F138D4F637280000456642648</KID>
  <UniqueName/>
  <Suggested/>
  <Justification/>
</Klassify>
</file>

<file path=customXml/item8.xml><?xml version="1.0" encoding="utf-8"?>
<Klassify>
  <SNO>14</SNO>
  <KDate>2021-03-03 17:39:26</KDate>
  <Classification>SEBI-INTERNAL</Classification>
  <HostName>MUM0111832</HostName>
  <Domain_User>SEBINT/1832</Domain_User>
  <IPAdd>10.88.99.209</IPAdd>
  <FilePath>C:\Users\1832\AppData\Roaming\Klassify\59031\Feb 2021 Bulletin Tables .xlsx</FilePath>
  <KID>14B31F138D4F637280000456642648</KID>
</Klassify>
</file>

<file path=customXml/item9.xml>
</file>

<file path=customXml/itemProps1.xml><?xml version="1.0" encoding="utf-8"?>
<ds:datastoreItem xmlns:ds="http://schemas.openxmlformats.org/officeDocument/2006/customXml" ds:itemID="{D7543C77-5EBC-46F2-AC21-5D702358D3EF}">
  <ds:schemaRefs/>
</ds:datastoreItem>
</file>

<file path=customXml/itemProps10.xml><?xml version="1.0" encoding="utf-8"?>
<ds:datastoreItem xmlns:ds="http://schemas.openxmlformats.org/officeDocument/2006/customXml" ds:itemID="{DC203C73-AB69-437B-8A49-72F4F5F78F3D}">
  <ds:schemaRefs/>
</ds:datastoreItem>
</file>

<file path=customXml/itemProps11.xml><?xml version="1.0" encoding="utf-8"?>
<ds:datastoreItem xmlns:ds="http://schemas.openxmlformats.org/officeDocument/2006/customXml" ds:itemID="{1102E63E-23D5-4E6B-A34D-A75495099C9F}">
  <ds:schemaRefs/>
</ds:datastoreItem>
</file>

<file path=customXml/itemProps12.xml><?xml version="1.0" encoding="utf-8"?>
<ds:datastoreItem xmlns:ds="http://schemas.openxmlformats.org/officeDocument/2006/customXml" ds:itemID="{82ABD5A8-35A3-4408-B2AD-612877FD7CDE}">
  <ds:schemaRefs/>
</ds:datastoreItem>
</file>

<file path=customXml/itemProps13.xml><?xml version="1.0" encoding="utf-8"?>
<ds:datastoreItem xmlns:ds="http://schemas.openxmlformats.org/officeDocument/2006/customXml" ds:itemID="{6C15F8C4-3EDE-46D2-AB8B-5AF52532B4A9}">
  <ds:schemaRefs/>
</ds:datastoreItem>
</file>

<file path=customXml/itemProps14.xml><?xml version="1.0" encoding="utf-8"?>
<ds:datastoreItem xmlns:ds="http://schemas.openxmlformats.org/officeDocument/2006/customXml" ds:itemID="{A023FBAF-0DFB-46BA-BC6D-16D0E986A2AC}">
  <ds:schemaRefs/>
</ds:datastoreItem>
</file>

<file path=customXml/itemProps15.xml><?xml version="1.0" encoding="utf-8"?>
<ds:datastoreItem xmlns:ds="http://schemas.openxmlformats.org/officeDocument/2006/customXml" ds:itemID="{8251B0E5-C9BE-4DCF-8D3C-7516DB2FED46}">
  <ds:schemaRefs/>
</ds:datastoreItem>
</file>

<file path=customXml/itemProps16.xml><?xml version="1.0" encoding="utf-8"?>
<ds:datastoreItem xmlns:ds="http://schemas.openxmlformats.org/officeDocument/2006/customXml" ds:itemID="{66D94EB6-1FFF-482B-8771-325FFC71D38C}">
  <ds:schemaRefs/>
</ds:datastoreItem>
</file>

<file path=customXml/itemProps17.xml><?xml version="1.0" encoding="utf-8"?>
<ds:datastoreItem xmlns:ds="http://schemas.openxmlformats.org/officeDocument/2006/customXml" ds:itemID="{888A4D8D-CAD3-4CD9-A5D1-B8726AE7B220}">
  <ds:schemaRefs/>
</ds:datastoreItem>
</file>

<file path=customXml/itemProps2.xml><?xml version="1.0" encoding="utf-8"?>
<ds:datastoreItem xmlns:ds="http://schemas.openxmlformats.org/officeDocument/2006/customXml" ds:itemID="{43A348FB-3138-4FEC-A62C-A90359EB66A5}">
  <ds:schemaRefs/>
</ds:datastoreItem>
</file>

<file path=customXml/itemProps3.xml><?xml version="1.0" encoding="utf-8"?>
<ds:datastoreItem xmlns:ds="http://schemas.openxmlformats.org/officeDocument/2006/customXml" ds:itemID="{53BD1146-B6B4-4FB6-83CF-80C3BE1981A8}"/>
</file>

<file path=customXml/itemProps4.xml><?xml version="1.0" encoding="utf-8"?>
<ds:datastoreItem xmlns:ds="http://schemas.openxmlformats.org/officeDocument/2006/customXml" ds:itemID="{B285BE7F-DF6F-4519-A33E-FB5855994DF8}">
  <ds:schemaRefs/>
</ds:datastoreItem>
</file>

<file path=customXml/itemProps5.xml><?xml version="1.0" encoding="utf-8"?>
<ds:datastoreItem xmlns:ds="http://schemas.openxmlformats.org/officeDocument/2006/customXml" ds:itemID="{21F6121F-EA88-476E-BCCE-B580B6DE5FE9}">
  <ds:schemaRefs/>
</ds:datastoreItem>
</file>

<file path=customXml/itemProps6.xml><?xml version="1.0" encoding="utf-8"?>
<ds:datastoreItem xmlns:ds="http://schemas.openxmlformats.org/officeDocument/2006/customXml" ds:itemID="{3D17892C-8752-4E54-A318-8326888738E5}">
  <ds:schemaRefs/>
</ds:datastoreItem>
</file>

<file path=customXml/itemProps7.xml><?xml version="1.0" encoding="utf-8"?>
<ds:datastoreItem xmlns:ds="http://schemas.openxmlformats.org/officeDocument/2006/customXml" ds:itemID="{6C8B5F35-3905-4EED-BDCD-560E73A13287}">
  <ds:schemaRefs/>
</ds:datastoreItem>
</file>

<file path=customXml/itemProps8.xml><?xml version="1.0" encoding="utf-8"?>
<ds:datastoreItem xmlns:ds="http://schemas.openxmlformats.org/officeDocument/2006/customXml" ds:itemID="{D7543C77-5EBC-46F2-AC21-5D702358D3EF}">
  <ds:schemaRefs/>
</ds:datastoreItem>
</file>

<file path=customXml/itemProps9.xml><?xml version="1.0" encoding="utf-8"?>
<ds:datastoreItem xmlns:ds="http://schemas.openxmlformats.org/officeDocument/2006/customXml" ds:itemID="{B5F30AE1-25B3-436A-AF66-7960BCA50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A V SUBBA RAO</cp:lastModifiedBy>
  <cp:lastPrinted>2021-04-23T07:05:58Z</cp:lastPrinted>
  <dcterms:created xsi:type="dcterms:W3CDTF">2020-06-18T05:22:17Z</dcterms:created>
  <dcterms:modified xsi:type="dcterms:W3CDTF">2021-04-23T07:40:14Z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ules">
    <vt:lpwstr/>
  </property>
  <property fmtid="{D5CDD505-2E9C-101B-9397-08002B2CF9AE}" pid="3" name="Classification">
    <vt:lpwstr>SEBI-INTERNAL</vt:lpwstr>
  </property>
  <property fmtid="{D5CDD505-2E9C-101B-9397-08002B2CF9AE}" pid="4" name="KID">
    <vt:lpwstr>14B31F138D4F637280000456642648</vt:lpwstr>
  </property>
</Properties>
</file>